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05-Math-Financiére\01-Cour-Statistique-descriptives\01-Cour-Statistique-descriptives\Documents\"/>
    </mc:Choice>
  </mc:AlternateContent>
  <xr:revisionPtr revIDLastSave="0" documentId="13_ncr:1_{A37C218F-80AA-45E4-BFFE-6C641AC86725}" xr6:coauthVersionLast="47" xr6:coauthVersionMax="47" xr10:uidLastSave="{00000000-0000-0000-0000-000000000000}"/>
  <bookViews>
    <workbookView xWindow="23880" yWindow="-120" windowWidth="29040" windowHeight="15720" activeTab="7" xr2:uid="{87A7BE59-A4D1-4D51-B6FC-6205B313C44D}"/>
  </bookViews>
  <sheets>
    <sheet name="MENU" sheetId="16" r:id="rId1"/>
    <sheet name="Classe nodale" sheetId="7" r:id="rId2"/>
    <sheet name="Mediane" sheetId="1" r:id="rId3"/>
    <sheet name="Quartiles" sheetId="4" r:id="rId4"/>
    <sheet name="Indices LPF" sheetId="5" r:id="rId5"/>
    <sheet name="Taux evolution" sheetId="6" r:id="rId6"/>
    <sheet name="Moindre carré" sheetId="8" r:id="rId7"/>
    <sheet name="Correlation" sheetId="17" r:id="rId8"/>
    <sheet name="Loi binomiale" sheetId="9" r:id="rId9"/>
  </sheets>
  <definedNames>
    <definedName name="ci_x_ni">Mediane!$M$5:$M$9</definedName>
    <definedName name="Data_1">Mediane!$A$5:$M$9</definedName>
    <definedName name="nb_copie">Mediane!$C$5:$C$9</definedName>
    <definedName name="ni_ci">Mediane!$J$5:$J$20</definedName>
    <definedName name="serie_c03">#REF!</definedName>
    <definedName name="serie_c04">#REF!</definedName>
    <definedName name="serie_c07">#REF!</definedName>
    <definedName name="serie_c10">#REF!</definedName>
    <definedName name="serie_c13">#REF!</definedName>
    <definedName name="theore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7" l="1"/>
  <c r="J35" i="17"/>
  <c r="J30" i="17"/>
  <c r="J31" i="17"/>
  <c r="J32" i="17"/>
  <c r="J33" i="17"/>
  <c r="J34" i="17"/>
  <c r="J29" i="17"/>
  <c r="P34" i="17"/>
  <c r="M26" i="17"/>
  <c r="J21" i="17"/>
  <c r="J22" i="17"/>
  <c r="J23" i="17"/>
  <c r="J24" i="17"/>
  <c r="J25" i="17"/>
  <c r="J20" i="17"/>
  <c r="P25" i="17"/>
  <c r="M34" i="17"/>
  <c r="M33" i="17"/>
  <c r="R31" i="17"/>
  <c r="P31" i="17"/>
  <c r="S31" i="17" s="1"/>
  <c r="P32" i="17" s="1"/>
  <c r="S32" i="17" s="1"/>
  <c r="R30" i="17"/>
  <c r="P30" i="17"/>
  <c r="S30" i="17" s="1"/>
  <c r="S29" i="17"/>
  <c r="R29" i="17"/>
  <c r="P29" i="17"/>
  <c r="M25" i="17"/>
  <c r="M24" i="17"/>
  <c r="R22" i="17"/>
  <c r="P22" i="17"/>
  <c r="S22" i="17" s="1"/>
  <c r="P23" i="17" s="1"/>
  <c r="S23" i="17" s="1"/>
  <c r="P21" i="17"/>
  <c r="R20" i="17"/>
  <c r="P20" i="17"/>
  <c r="S20" i="17" s="1"/>
  <c r="R21" i="17" s="1"/>
  <c r="M17" i="17"/>
  <c r="J17" i="17"/>
  <c r="J12" i="17"/>
  <c r="J13" i="17"/>
  <c r="J14" i="17"/>
  <c r="J15" i="17"/>
  <c r="J16" i="17"/>
  <c r="J11" i="17"/>
  <c r="M16" i="17"/>
  <c r="M15" i="17"/>
  <c r="M8" i="17"/>
  <c r="J2" i="17"/>
  <c r="J8" i="17"/>
  <c r="R13" i="17"/>
  <c r="S13" i="17" s="1"/>
  <c r="P14" i="17" s="1"/>
  <c r="S14" i="17" s="1"/>
  <c r="P13" i="17"/>
  <c r="P12" i="17"/>
  <c r="S12" i="17" s="1"/>
  <c r="R11" i="17"/>
  <c r="P11" i="17"/>
  <c r="S11" i="17" s="1"/>
  <c r="R12" i="17" s="1"/>
  <c r="M7" i="17"/>
  <c r="M6" i="17"/>
  <c r="S5" i="17"/>
  <c r="P5" i="17"/>
  <c r="S4" i="17"/>
  <c r="R4" i="17"/>
  <c r="P4" i="17"/>
  <c r="J3" i="17"/>
  <c r="J4" i="17"/>
  <c r="J5" i="17"/>
  <c r="J6" i="17"/>
  <c r="J7" i="17"/>
  <c r="S3" i="17"/>
  <c r="R3" i="17"/>
  <c r="P3" i="17"/>
  <c r="F2" i="17"/>
  <c r="D30" i="17"/>
  <c r="D31" i="17"/>
  <c r="D32" i="17"/>
  <c r="D33" i="17"/>
  <c r="D34" i="17"/>
  <c r="D29" i="17"/>
  <c r="C30" i="17"/>
  <c r="C31" i="17"/>
  <c r="C32" i="17"/>
  <c r="C33" i="17"/>
  <c r="C34" i="17"/>
  <c r="C29" i="17"/>
  <c r="M20" i="17"/>
  <c r="C21" i="17"/>
  <c r="C22" i="17"/>
  <c r="C23" i="17"/>
  <c r="C24" i="17"/>
  <c r="C25" i="17"/>
  <c r="C20" i="17"/>
  <c r="F11" i="17"/>
  <c r="H11" i="17" s="1"/>
  <c r="C12" i="17"/>
  <c r="C13" i="17"/>
  <c r="C14" i="17"/>
  <c r="C15" i="17"/>
  <c r="C16" i="17"/>
  <c r="C11" i="17"/>
  <c r="M13" i="17"/>
  <c r="M14" i="17" s="1"/>
  <c r="F12" i="17" s="1"/>
  <c r="H12" i="17" s="1"/>
  <c r="M4" i="17"/>
  <c r="M5" i="17" s="1"/>
  <c r="F3" i="17" s="1"/>
  <c r="M2" i="17"/>
  <c r="M3" i="17" s="1"/>
  <c r="E4" i="17" s="1"/>
  <c r="J26" i="17" l="1"/>
  <c r="S21" i="17"/>
  <c r="M22" i="17"/>
  <c r="M23" i="17" s="1"/>
  <c r="F24" i="17" s="1"/>
  <c r="H24" i="17" s="1"/>
  <c r="F7" i="17"/>
  <c r="F6" i="17"/>
  <c r="F16" i="17"/>
  <c r="H16" i="17" s="1"/>
  <c r="F5" i="17"/>
  <c r="H5" i="17" s="1"/>
  <c r="M11" i="17"/>
  <c r="M12" i="17" s="1"/>
  <c r="E16" i="17" s="1"/>
  <c r="F13" i="17"/>
  <c r="H13" i="17" s="1"/>
  <c r="F4" i="17"/>
  <c r="F20" i="17"/>
  <c r="H20" i="17" s="1"/>
  <c r="F21" i="17"/>
  <c r="H21" i="17" s="1"/>
  <c r="F22" i="17"/>
  <c r="H22" i="17" s="1"/>
  <c r="E30" i="17"/>
  <c r="F25" i="17"/>
  <c r="H25" i="17" s="1"/>
  <c r="F15" i="17"/>
  <c r="H15" i="17" s="1"/>
  <c r="F14" i="17"/>
  <c r="H14" i="17" s="1"/>
  <c r="M29" i="17"/>
  <c r="M30" i="17" s="1"/>
  <c r="E29" i="17" s="1"/>
  <c r="M31" i="17"/>
  <c r="E3" i="17"/>
  <c r="G3" i="17" s="1"/>
  <c r="M32" i="17"/>
  <c r="F29" i="17" s="1"/>
  <c r="H29" i="17" s="1"/>
  <c r="M21" i="17"/>
  <c r="H4" i="17"/>
  <c r="H6" i="17"/>
  <c r="H3" i="17"/>
  <c r="H7" i="17"/>
  <c r="I4" i="17"/>
  <c r="G4" i="17"/>
  <c r="E2" i="17"/>
  <c r="E7" i="17"/>
  <c r="E6" i="17"/>
  <c r="E5" i="17"/>
  <c r="F32" i="17" l="1"/>
  <c r="H32" i="17" s="1"/>
  <c r="E15" i="17"/>
  <c r="E14" i="17"/>
  <c r="I14" i="17" s="1"/>
  <c r="E13" i="17"/>
  <c r="E11" i="17"/>
  <c r="E17" i="17" s="1"/>
  <c r="E12" i="17"/>
  <c r="G12" i="17" s="1"/>
  <c r="H17" i="17"/>
  <c r="F23" i="17"/>
  <c r="H23" i="17" s="1"/>
  <c r="H26" i="17" s="1"/>
  <c r="I29" i="17"/>
  <c r="G29" i="17"/>
  <c r="E20" i="17"/>
  <c r="E21" i="17"/>
  <c r="E22" i="17"/>
  <c r="E23" i="17"/>
  <c r="E25" i="17"/>
  <c r="E24" i="17"/>
  <c r="F34" i="17"/>
  <c r="H34" i="17" s="1"/>
  <c r="F30" i="17"/>
  <c r="H30" i="17" s="1"/>
  <c r="F17" i="17"/>
  <c r="E34" i="17"/>
  <c r="G11" i="17"/>
  <c r="G30" i="17"/>
  <c r="F31" i="17"/>
  <c r="H31" i="17" s="1"/>
  <c r="G15" i="17"/>
  <c r="I15" i="17"/>
  <c r="F26" i="17"/>
  <c r="E31" i="17"/>
  <c r="E32" i="17"/>
  <c r="E33" i="17"/>
  <c r="G14" i="17"/>
  <c r="F33" i="17"/>
  <c r="H33" i="17" s="1"/>
  <c r="I16" i="17"/>
  <c r="G16" i="17"/>
  <c r="G5" i="17"/>
  <c r="I5" i="17"/>
  <c r="I6" i="17"/>
  <c r="G6" i="17"/>
  <c r="F8" i="17"/>
  <c r="H2" i="17"/>
  <c r="H8" i="17" s="1"/>
  <c r="I7" i="17"/>
  <c r="G7" i="17"/>
  <c r="G2" i="17"/>
  <c r="E8" i="17"/>
  <c r="I2" i="17"/>
  <c r="I3" i="17"/>
  <c r="I13" i="17" l="1"/>
  <c r="G13" i="17"/>
  <c r="G17" i="17" s="1"/>
  <c r="H35" i="17"/>
  <c r="I12" i="17"/>
  <c r="I11" i="17"/>
  <c r="G24" i="17"/>
  <c r="I24" i="17"/>
  <c r="I25" i="17"/>
  <c r="G25" i="17"/>
  <c r="I34" i="17"/>
  <c r="G34" i="17"/>
  <c r="G21" i="17"/>
  <c r="I21" i="17"/>
  <c r="I22" i="17"/>
  <c r="G22" i="17"/>
  <c r="F35" i="17"/>
  <c r="I33" i="17"/>
  <c r="G33" i="17"/>
  <c r="I30" i="17"/>
  <c r="G20" i="17"/>
  <c r="E26" i="17"/>
  <c r="I20" i="17"/>
  <c r="G23" i="17"/>
  <c r="I23" i="17"/>
  <c r="G32" i="17"/>
  <c r="I32" i="17"/>
  <c r="E35" i="17"/>
  <c r="I17" i="17"/>
  <c r="G31" i="17"/>
  <c r="I31" i="17"/>
  <c r="I8" i="17"/>
  <c r="P2" i="17" s="1"/>
  <c r="S2" i="17" s="1"/>
  <c r="G8" i="17"/>
  <c r="R2" i="17" s="1"/>
  <c r="G26" i="17" l="1"/>
  <c r="I35" i="17"/>
  <c r="G35" i="17"/>
  <c r="I26" i="17"/>
  <c r="M34" i="9"/>
  <c r="M33" i="9"/>
  <c r="L33" i="9"/>
  <c r="M32" i="9"/>
  <c r="L32" i="9"/>
  <c r="L31" i="9"/>
  <c r="M31" i="9"/>
  <c r="K31" i="9"/>
  <c r="J31" i="9"/>
  <c r="M29" i="9"/>
  <c r="M27" i="9"/>
  <c r="M28" i="9"/>
  <c r="M26" i="9"/>
  <c r="K28" i="9"/>
  <c r="K27" i="9"/>
  <c r="L28" i="9"/>
  <c r="L27" i="9"/>
  <c r="L26" i="9"/>
  <c r="K26" i="9"/>
  <c r="J27" i="9"/>
  <c r="J28" i="9"/>
  <c r="J26" i="9"/>
  <c r="I28" i="9"/>
  <c r="I27" i="9"/>
  <c r="I26" i="9"/>
  <c r="M23" i="9"/>
  <c r="L21" i="9"/>
  <c r="L20" i="9"/>
  <c r="K21" i="9"/>
  <c r="K20" i="9"/>
  <c r="I21" i="9"/>
  <c r="J21" i="9" s="1"/>
  <c r="M21" i="9" s="1"/>
  <c r="I20" i="9"/>
  <c r="J20" i="9"/>
  <c r="I17" i="9"/>
  <c r="J17" i="9" s="1"/>
  <c r="K17" i="9"/>
  <c r="K16" i="9"/>
  <c r="I16" i="9"/>
  <c r="J16" i="9"/>
  <c r="K15" i="9"/>
  <c r="K13" i="9"/>
  <c r="I15" i="9"/>
  <c r="J15" i="9" s="1"/>
  <c r="I13" i="9"/>
  <c r="H3" i="9"/>
  <c r="N7" i="9" s="1"/>
  <c r="C13" i="8"/>
  <c r="C14" i="8" s="1"/>
  <c r="P7" i="8"/>
  <c r="B6" i="8"/>
  <c r="B7" i="8" s="1"/>
  <c r="B8" i="8" s="1"/>
  <c r="A6" i="8"/>
  <c r="A7" i="8" s="1"/>
  <c r="A8" i="8" s="1"/>
  <c r="A9" i="8" s="1"/>
  <c r="A10" i="8" s="1"/>
  <c r="A11" i="8" s="1"/>
  <c r="A12" i="8" s="1"/>
  <c r="C1" i="8"/>
  <c r="D1" i="8" s="1"/>
  <c r="E1" i="8" s="1"/>
  <c r="F1" i="8" s="1"/>
  <c r="G1" i="8" s="1"/>
  <c r="B1" i="8"/>
  <c r="H4" i="7"/>
  <c r="R5" i="7" s="1"/>
  <c r="H3" i="7"/>
  <c r="R2" i="7" s="1"/>
  <c r="E8" i="7"/>
  <c r="E3" i="7"/>
  <c r="D4" i="7"/>
  <c r="E4" i="7" s="1"/>
  <c r="H5" i="7" s="1"/>
  <c r="D5" i="7"/>
  <c r="E5" i="7" s="1"/>
  <c r="H6" i="7" s="1"/>
  <c r="R4" i="7" s="1"/>
  <c r="D6" i="7"/>
  <c r="E6" i="7" s="1"/>
  <c r="H7" i="7" s="1"/>
  <c r="D7" i="7"/>
  <c r="E7" i="7" s="1"/>
  <c r="D8" i="7"/>
  <c r="D3" i="7"/>
  <c r="C9" i="7"/>
  <c r="L13" i="6"/>
  <c r="H15" i="6"/>
  <c r="I15" i="6"/>
  <c r="J15" i="6"/>
  <c r="K15" i="6"/>
  <c r="E14" i="6"/>
  <c r="E15" i="6" s="1"/>
  <c r="F14" i="6"/>
  <c r="F15" i="6" s="1"/>
  <c r="G14" i="6"/>
  <c r="G15" i="6" s="1"/>
  <c r="H14" i="6"/>
  <c r="I14" i="6"/>
  <c r="J14" i="6"/>
  <c r="K14" i="6"/>
  <c r="C5" i="6"/>
  <c r="D5" i="6"/>
  <c r="C4" i="6"/>
  <c r="D4" i="6"/>
  <c r="E4" i="6"/>
  <c r="E5" i="6" s="1"/>
  <c r="F4" i="6"/>
  <c r="F5" i="6" s="1"/>
  <c r="G4" i="6"/>
  <c r="G5" i="6" s="1"/>
  <c r="H4" i="6"/>
  <c r="H5" i="6" s="1"/>
  <c r="I4" i="6"/>
  <c r="I5" i="6" s="1"/>
  <c r="J4" i="6"/>
  <c r="J5" i="6" s="1"/>
  <c r="K4" i="6"/>
  <c r="K5" i="6" s="1"/>
  <c r="D14" i="6"/>
  <c r="D15" i="6" s="1"/>
  <c r="C14" i="6"/>
  <c r="C15" i="6" s="1"/>
  <c r="B14" i="6"/>
  <c r="B15" i="6" s="1"/>
  <c r="B4" i="6"/>
  <c r="B5" i="6" s="1"/>
  <c r="L6" i="5"/>
  <c r="M6" i="5"/>
  <c r="N6" i="5"/>
  <c r="O6" i="5"/>
  <c r="P6" i="5"/>
  <c r="K6" i="5"/>
  <c r="J14" i="5"/>
  <c r="J11" i="5"/>
  <c r="J24" i="5"/>
  <c r="J21" i="5"/>
  <c r="J25" i="5" s="1"/>
  <c r="J26" i="5" s="1"/>
  <c r="L26" i="5" s="1"/>
  <c r="D21" i="5"/>
  <c r="D11" i="5"/>
  <c r="D24" i="5"/>
  <c r="D14" i="5"/>
  <c r="D15" i="5" s="1"/>
  <c r="D16" i="5" s="1"/>
  <c r="F16" i="5" s="1"/>
  <c r="E49" i="4"/>
  <c r="G47" i="4"/>
  <c r="D49" i="4" s="1"/>
  <c r="G46" i="4"/>
  <c r="D43" i="4"/>
  <c r="E43" i="4"/>
  <c r="F43" i="4" s="1"/>
  <c r="G43" i="4" s="1"/>
  <c r="H43" i="4" s="1"/>
  <c r="I43" i="4" s="1"/>
  <c r="J43" i="4" s="1"/>
  <c r="K43" i="4" s="1"/>
  <c r="C43" i="4"/>
  <c r="E38" i="4"/>
  <c r="G36" i="4"/>
  <c r="G35" i="4"/>
  <c r="K18" i="4"/>
  <c r="E31" i="4"/>
  <c r="R24" i="4"/>
  <c r="G29" i="4"/>
  <c r="G28" i="4"/>
  <c r="T22" i="4"/>
  <c r="T21" i="4"/>
  <c r="T16" i="4"/>
  <c r="T15" i="4"/>
  <c r="I9" i="4"/>
  <c r="I8" i="4"/>
  <c r="I7" i="4"/>
  <c r="I6" i="4"/>
  <c r="E6" i="4"/>
  <c r="E7" i="4" s="1"/>
  <c r="E8" i="4" s="1"/>
  <c r="E9" i="4" s="1"/>
  <c r="I5" i="4"/>
  <c r="D5" i="4"/>
  <c r="D6" i="4" s="1"/>
  <c r="D7" i="4" s="1"/>
  <c r="D8" i="4" s="1"/>
  <c r="D9" i="4" s="1"/>
  <c r="P4" i="4"/>
  <c r="F5" i="4" s="1"/>
  <c r="G5" i="4" s="1"/>
  <c r="P4" i="1"/>
  <c r="P6" i="1" s="1"/>
  <c r="R24" i="1"/>
  <c r="T22" i="1"/>
  <c r="T21" i="1"/>
  <c r="T16" i="1"/>
  <c r="T15" i="1"/>
  <c r="I6" i="1"/>
  <c r="J6" i="1" s="1"/>
  <c r="I7" i="1"/>
  <c r="J7" i="1" s="1"/>
  <c r="I8" i="1"/>
  <c r="J8" i="1" s="1"/>
  <c r="I9" i="1"/>
  <c r="J9" i="1" s="1"/>
  <c r="I5" i="1"/>
  <c r="J5" i="1" s="1"/>
  <c r="D5" i="1"/>
  <c r="D6" i="1" s="1"/>
  <c r="D7" i="1" s="1"/>
  <c r="D8" i="1" s="1"/>
  <c r="D9" i="1" s="1"/>
  <c r="Q24" i="1" l="1"/>
  <c r="S24" i="1" s="1"/>
  <c r="F6" i="4"/>
  <c r="G6" i="4" s="1"/>
  <c r="P6" i="4"/>
  <c r="R18" i="4" s="1"/>
  <c r="F7" i="4"/>
  <c r="F9" i="4"/>
  <c r="P8" i="4"/>
  <c r="S28" i="4" s="1"/>
  <c r="K7" i="4" s="1"/>
  <c r="L7" i="4" s="1"/>
  <c r="M7" i="4" s="1"/>
  <c r="P8" i="1"/>
  <c r="S28" i="1" s="1"/>
  <c r="M20" i="9"/>
  <c r="H4" i="9"/>
  <c r="J13" i="9"/>
  <c r="E12" i="8"/>
  <c r="E11" i="8"/>
  <c r="B9" i="8"/>
  <c r="E10" i="8"/>
  <c r="E7" i="8"/>
  <c r="E9" i="8"/>
  <c r="E6" i="8"/>
  <c r="E8" i="8"/>
  <c r="E5" i="8"/>
  <c r="L12" i="7"/>
  <c r="R3" i="7"/>
  <c r="B16" i="6"/>
  <c r="B6" i="6"/>
  <c r="B7" i="6" s="1"/>
  <c r="B8" i="6" s="1"/>
  <c r="B22" i="6" s="1"/>
  <c r="F22" i="6" s="1"/>
  <c r="B17" i="6"/>
  <c r="B18" i="6" s="1"/>
  <c r="B19" i="6" s="1"/>
  <c r="D22" i="6" s="1"/>
  <c r="J15" i="5"/>
  <c r="J16" i="5" s="1"/>
  <c r="L16" i="5" s="1"/>
  <c r="D25" i="5"/>
  <c r="D26" i="5" s="1"/>
  <c r="F26" i="5" s="1"/>
  <c r="Q18" i="4"/>
  <c r="F49" i="4"/>
  <c r="D38" i="4"/>
  <c r="F38" i="4" s="1"/>
  <c r="D31" i="4"/>
  <c r="F31" i="4" s="1"/>
  <c r="Q24" i="4"/>
  <c r="S24" i="4" s="1"/>
  <c r="J7" i="4"/>
  <c r="J8" i="4"/>
  <c r="J5" i="4"/>
  <c r="J6" i="4"/>
  <c r="J9" i="4"/>
  <c r="F8" i="4"/>
  <c r="E6" i="1"/>
  <c r="E7" i="1" s="1"/>
  <c r="E8" i="1" s="1"/>
  <c r="E9" i="1" s="1"/>
  <c r="R18" i="1"/>
  <c r="S18" i="1" s="1"/>
  <c r="F9" i="1"/>
  <c r="F6" i="1"/>
  <c r="F5" i="1"/>
  <c r="G5" i="1" s="1"/>
  <c r="F8" i="1"/>
  <c r="F7" i="1"/>
  <c r="Q18" i="1"/>
  <c r="G7" i="4" l="1"/>
  <c r="G8" i="4" s="1"/>
  <c r="G9" i="4" s="1"/>
  <c r="H5" i="4" s="1"/>
  <c r="H6" i="4" s="1"/>
  <c r="H7" i="4" s="1"/>
  <c r="H8" i="4" s="1"/>
  <c r="H9" i="4" s="1"/>
  <c r="S18" i="4"/>
  <c r="G6" i="1"/>
  <c r="G7" i="1" s="1"/>
  <c r="G8" i="1" s="1"/>
  <c r="G9" i="1" s="1"/>
  <c r="H5" i="1" s="1"/>
  <c r="H6" i="1" s="1"/>
  <c r="H7" i="1" s="1"/>
  <c r="H8" i="1" s="1"/>
  <c r="H9" i="1" s="1"/>
  <c r="K6" i="4"/>
  <c r="L6" i="4" s="1"/>
  <c r="M6" i="4" s="1"/>
  <c r="K9" i="4"/>
  <c r="L9" i="4" s="1"/>
  <c r="M9" i="4" s="1"/>
  <c r="K5" i="4"/>
  <c r="L5" i="4" s="1"/>
  <c r="M5" i="4" s="1"/>
  <c r="K8" i="4"/>
  <c r="L8" i="4" s="1"/>
  <c r="M8" i="4" s="1"/>
  <c r="L17" i="9"/>
  <c r="M17" i="9" s="1"/>
  <c r="L13" i="9"/>
  <c r="L16" i="9"/>
  <c r="M16" i="9" s="1"/>
  <c r="L15" i="9"/>
  <c r="M15" i="9" s="1"/>
  <c r="M13" i="9"/>
  <c r="N9" i="9"/>
  <c r="N8" i="9"/>
  <c r="E13" i="8"/>
  <c r="B10" i="8"/>
  <c r="K6" i="1"/>
  <c r="L6" i="1" s="1"/>
  <c r="M6" i="1" s="1"/>
  <c r="K7" i="1"/>
  <c r="L7" i="1" s="1"/>
  <c r="M7" i="1" s="1"/>
  <c r="K9" i="1"/>
  <c r="L9" i="1" s="1"/>
  <c r="M9" i="1" s="1"/>
  <c r="K5" i="1"/>
  <c r="L5" i="1" s="1"/>
  <c r="M5" i="1" s="1"/>
  <c r="K8" i="1"/>
  <c r="L8" i="1" s="1"/>
  <c r="M8" i="1" s="1"/>
  <c r="Q12" i="4" l="1"/>
  <c r="S32" i="4" s="1"/>
  <c r="S36" i="4" s="1"/>
  <c r="Q36" i="4" s="1"/>
  <c r="M18" i="9"/>
  <c r="B11" i="8"/>
  <c r="Q12" i="1"/>
  <c r="S32" i="1" s="1"/>
  <c r="S36" i="1" s="1"/>
  <c r="Q36" i="1" s="1"/>
  <c r="B12" i="8" l="1"/>
  <c r="B13" i="8" l="1"/>
  <c r="B14" i="8" s="1"/>
  <c r="D5" i="8" l="1"/>
  <c r="D6" i="8"/>
  <c r="D8" i="8"/>
  <c r="D7" i="8"/>
  <c r="D9" i="8"/>
  <c r="D10" i="8"/>
  <c r="D11" i="8"/>
  <c r="D12" i="8"/>
  <c r="F5" i="8" l="1"/>
  <c r="D13" i="8"/>
  <c r="G5" i="8"/>
  <c r="F12" i="8"/>
  <c r="G12" i="8"/>
  <c r="G11" i="8"/>
  <c r="F11" i="8"/>
  <c r="G10" i="8"/>
  <c r="F10" i="8"/>
  <c r="G9" i="8"/>
  <c r="F9" i="8"/>
  <c r="G7" i="8"/>
  <c r="F7" i="8"/>
  <c r="G8" i="8"/>
  <c r="F8" i="8"/>
  <c r="G6" i="8"/>
  <c r="F6" i="8"/>
  <c r="G13" i="8" l="1"/>
  <c r="F13" i="8"/>
  <c r="M7" i="8" s="1"/>
  <c r="O7" i="8" l="1"/>
  <c r="M10" i="8"/>
  <c r="Q7" i="8" s="1"/>
  <c r="R7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Philippe LAMBERT</author>
  </authors>
  <commentList>
    <comment ref="O3" authorId="0" shapeId="0" xr:uid="{E4415568-D462-42DE-BD30-1D01B156DFDD}">
      <text>
        <r>
          <rPr>
            <b/>
            <sz val="9"/>
            <color indexed="81"/>
            <rFont val="Tahoma"/>
            <family val="2"/>
          </rPr>
          <t>Y*=ax*+b
b=y*-ax*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69426501-7AC1-455B-BA23-01DB955CF739}">
      <text>
        <r>
          <rPr>
            <b/>
            <sz val="9"/>
            <color indexed="81"/>
            <rFont val="Tahoma"/>
            <family val="2"/>
          </rPr>
          <t>Y*=ax*+b
b=y*-ax*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1" authorId="0" shapeId="0" xr:uid="{97351B25-C785-4167-AC65-E5412F1F4218}">
      <text>
        <r>
          <rPr>
            <b/>
            <sz val="9"/>
            <color indexed="81"/>
            <rFont val="Tahoma"/>
            <family val="2"/>
          </rPr>
          <t>Y*=ax*+b
b=y*-ax*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0" authorId="0" shapeId="0" xr:uid="{AE6CA808-EB64-4A9D-8685-8A0E4C96B0C9}">
      <text>
        <r>
          <rPr>
            <b/>
            <sz val="9"/>
            <color indexed="81"/>
            <rFont val="Tahoma"/>
            <family val="2"/>
          </rPr>
          <t>Y*=ax*+b
b=y*-ax*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<sst xmlns="http://schemas.openxmlformats.org/spreadsheetml/2006/main" count="361" uniqueCount="197">
  <si>
    <t>Copies/Intervalles</t>
  </si>
  <si>
    <t>[ Intervalles [</t>
  </si>
  <si>
    <t>Effectif cumulé croissant</t>
  </si>
  <si>
    <t>Effectit cumulé décroissant</t>
  </si>
  <si>
    <t>Calcul de la médiane par les effectifs</t>
  </si>
  <si>
    <t>Soit</t>
  </si>
  <si>
    <t>Calcul de la médiane par les fréquences</t>
  </si>
  <si>
    <t>Calcul de la moyenne</t>
  </si>
  <si>
    <t>Calcul de la variance</t>
  </si>
  <si>
    <t>Calcul de l'écart type</t>
  </si>
  <si>
    <t>Classe par anciéneté</t>
  </si>
  <si>
    <t>N</t>
  </si>
  <si>
    <t>La médianne 50% des salariés ont moinse et 50% ont plus</t>
  </si>
  <si>
    <t>Fréquence</t>
  </si>
  <si>
    <t>La médiane = 50%</t>
  </si>
  <si>
    <t>Postulat</t>
  </si>
  <si>
    <t>Seize ans et 50% d'une année donc 16 ans et 6 mois</t>
  </si>
  <si>
    <t>Q1</t>
  </si>
  <si>
    <t>Q2</t>
  </si>
  <si>
    <t>Q3</t>
  </si>
  <si>
    <t>Q4</t>
  </si>
  <si>
    <t>=medianne</t>
  </si>
  <si>
    <t>ras</t>
  </si>
  <si>
    <t>Quatilles Q1=25%</t>
  </si>
  <si>
    <t xml:space="preserve">25% des salariés ont une anciénete  &lt; à 9ans et 65% d'une année donc 9 ans et 8 mois </t>
  </si>
  <si>
    <t>75% des salariés ont une anciénete &gt; 9 ans et 8 mois</t>
  </si>
  <si>
    <t>Déciles</t>
  </si>
  <si>
    <t>Les quartilles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</si>
  <si>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</si>
  <si>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</si>
  <si>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</si>
  <si>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</si>
  <si>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</si>
  <si>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</si>
  <si>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</si>
  <si>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</si>
  <si>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</si>
  <si>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</si>
  <si>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 xml:space="preserve">30% des salariés ont une anciénete  &lt; à 11 ans </t>
  </si>
  <si>
    <t>Données</t>
  </si>
  <si>
    <t>Pantalons</t>
  </si>
  <si>
    <t>Chemises</t>
  </si>
  <si>
    <t>Jupes</t>
  </si>
  <si>
    <t>Q</t>
  </si>
  <si>
    <t>P</t>
  </si>
  <si>
    <t>LAPEYRES</t>
  </si>
  <si>
    <t>PÄASCHE</t>
  </si>
  <si>
    <t>FICHER</t>
  </si>
  <si>
    <t>2015/2010</t>
  </si>
  <si>
    <t>2020/2015</t>
  </si>
  <si>
    <t>2020/2010</t>
  </si>
  <si>
    <t>Prix</t>
  </si>
  <si>
    <t>Prix 1</t>
  </si>
  <si>
    <t>Quantité 0</t>
  </si>
  <si>
    <t>Prix 0</t>
  </si>
  <si>
    <t>Prix  0</t>
  </si>
  <si>
    <t>S1 =Somme (P1*Q0)</t>
  </si>
  <si>
    <t>S2 = Somme (P0*Q0)</t>
  </si>
  <si>
    <t>Prix = S1 / S2</t>
  </si>
  <si>
    <t>Prix = Prix *100</t>
  </si>
  <si>
    <t>Quantité</t>
  </si>
  <si>
    <t>Quantité 1</t>
  </si>
  <si>
    <t>Quantité  0</t>
  </si>
  <si>
    <t>%</t>
  </si>
  <si>
    <t>PAASCHE</t>
  </si>
  <si>
    <t>Quantite</t>
  </si>
  <si>
    <t>S1 =Somme (P1*Q1)</t>
  </si>
  <si>
    <t>Prix  1</t>
  </si>
  <si>
    <t>On multiplie les coédiscients</t>
  </si>
  <si>
    <t>Au format %</t>
  </si>
  <si>
    <r>
      <rPr>
        <b/>
        <sz val="10"/>
        <color rgb="FFFF0000"/>
        <rFont val="Times New Roman"/>
        <family val="1"/>
      </rPr>
      <t>+1</t>
    </r>
    <r>
      <rPr>
        <sz val="10"/>
        <color theme="1"/>
        <rFont val="Times New Roman"/>
        <family val="1"/>
      </rPr>
      <t xml:space="preserve"> pour passer au coéfiscient multiplicateur,</t>
    </r>
  </si>
  <si>
    <r>
      <rPr>
        <b/>
        <sz val="10"/>
        <color rgb="FFFF0000"/>
        <rFont val="Times New Roman"/>
        <family val="1"/>
      </rPr>
      <t>-1</t>
    </r>
    <r>
      <rPr>
        <sz val="10"/>
        <color theme="1"/>
        <rFont val="Times New Roman"/>
        <family val="1"/>
      </rPr>
      <t xml:space="preserve"> pour revenir aux taux d'évolution</t>
    </r>
  </si>
  <si>
    <r>
      <rPr>
        <b/>
        <sz val="10"/>
        <color rgb="FFFF0000"/>
        <rFont val="Times New Roman"/>
        <family val="1"/>
      </rPr>
      <t xml:space="preserve">-1 </t>
    </r>
    <r>
      <rPr>
        <sz val="10"/>
        <color theme="1"/>
        <rFont val="Times New Roman"/>
        <family val="1"/>
      </rPr>
      <t>pour revenir aux taux d'évolution</t>
    </r>
  </si>
  <si>
    <r>
      <t xml:space="preserve">Taux d'évolution </t>
    </r>
    <r>
      <rPr>
        <b/>
        <sz val="11"/>
        <color theme="1"/>
        <rFont val="Aptos Narrow"/>
        <family val="2"/>
        <scheme val="minor"/>
      </rPr>
      <t>global</t>
    </r>
  </si>
  <si>
    <r>
      <t xml:space="preserve">Taux d'évolution </t>
    </r>
    <r>
      <rPr>
        <b/>
        <sz val="11"/>
        <color theme="1"/>
        <rFont val="Aptos Narrow"/>
        <family val="2"/>
        <scheme val="minor"/>
      </rPr>
      <t>moyen</t>
    </r>
  </si>
  <si>
    <t>NB VAL</t>
  </si>
  <si>
    <r>
      <t>Moyenne géométrique (</t>
    </r>
    <r>
      <rPr>
        <b/>
        <sz val="10"/>
        <color rgb="FFFF0000"/>
        <rFont val="Times New Roman"/>
        <family val="1"/>
      </rPr>
      <t>puissance 1/nbval</t>
    </r>
    <r>
      <rPr>
        <sz val="10"/>
        <color theme="1"/>
        <rFont val="Times New Roman"/>
        <family val="1"/>
      </rPr>
      <t>)</t>
    </r>
  </si>
  <si>
    <t>Ecart</t>
  </si>
  <si>
    <t>Global</t>
  </si>
  <si>
    <t>Moyen</t>
  </si>
  <si>
    <t>[</t>
  </si>
  <si>
    <t>]</t>
  </si>
  <si>
    <t>Classe des montants annuels des loyers en millier €</t>
  </si>
  <si>
    <t>Effectifs = nombre d'appartments correspondant à la classe</t>
  </si>
  <si>
    <t>Nombre d'effectifs</t>
  </si>
  <si>
    <t>Avant</t>
  </si>
  <si>
    <t>Apres</t>
  </si>
  <si>
    <t>Densite</t>
  </si>
  <si>
    <t>Entre bornes supériere et infériere de la classe</t>
  </si>
  <si>
    <t>Formune de l'interpolation linéaire</t>
  </si>
  <si>
    <t>x1</t>
  </si>
  <si>
    <t>x2</t>
  </si>
  <si>
    <t>ai</t>
  </si>
  <si>
    <t>a(i-1)</t>
  </si>
  <si>
    <t>a(i+1)</t>
  </si>
  <si>
    <t>Paramétres</t>
  </si>
  <si>
    <t xml:space="preserve"> </t>
  </si>
  <si>
    <t>Node</t>
  </si>
  <si>
    <t>Légende</t>
  </si>
  <si>
    <t>En appliquant la formule de l'interpolation linéaire</t>
  </si>
  <si>
    <t>Le node correspond à l'effectif le plus élevé, c’est-à-dire au plus représentatif. Acondition que l'étendue des classe soit identique,</t>
  </si>
  <si>
    <t>ai-ai-1</t>
  </si>
  <si>
    <t>ai-ai+1</t>
  </si>
  <si>
    <t>x2-x1</t>
  </si>
  <si>
    <t>Années</t>
  </si>
  <si>
    <t>CA 
milliers €</t>
  </si>
  <si>
    <t>X</t>
  </si>
  <si>
    <t>Y</t>
  </si>
  <si>
    <t>Années
en chiffre</t>
  </si>
  <si>
    <t>Total</t>
  </si>
  <si>
    <t>Moyenne</t>
  </si>
  <si>
    <t>Calculer A</t>
  </si>
  <si>
    <t>A =</t>
  </si>
  <si>
    <t>Calculer B</t>
  </si>
  <si>
    <t>B=</t>
  </si>
  <si>
    <t>ème année</t>
  </si>
  <si>
    <t>A</t>
  </si>
  <si>
    <t>* x</t>
  </si>
  <si>
    <t>+ B</t>
  </si>
  <si>
    <t xml:space="preserve"> = CA</t>
  </si>
  <si>
    <t>Equation</t>
  </si>
  <si>
    <t>Simulation  pour</t>
  </si>
  <si>
    <t>Année</t>
  </si>
  <si>
    <t>soit</t>
  </si>
  <si>
    <t>Echantillon de fromages</t>
  </si>
  <si>
    <t>L'usage de la Loi binomiale est justifier</t>
  </si>
  <si>
    <t>n</t>
  </si>
  <si>
    <t>p</t>
  </si>
  <si>
    <t>q</t>
  </si>
  <si>
    <t>Espérance</t>
  </si>
  <si>
    <t>E(X)</t>
  </si>
  <si>
    <t>Variance</t>
  </si>
  <si>
    <t>V</t>
  </si>
  <si>
    <t>Ecart type</t>
  </si>
  <si>
    <t>k</t>
  </si>
  <si>
    <r>
      <t>1 - Probabilité de tomber</t>
    </r>
    <r>
      <rPr>
        <sz val="11"/>
        <color rgb="FFFF0000"/>
        <rFont val="Aptos Narrow"/>
        <family val="2"/>
        <scheme val="minor"/>
      </rPr>
      <t xml:space="preserve"> exactement</t>
    </r>
    <r>
      <rPr>
        <sz val="11"/>
        <color theme="1"/>
        <rFont val="Aptos Narrow"/>
        <family val="2"/>
        <scheme val="minor"/>
      </rPr>
      <t xml:space="preserve">  sur </t>
    </r>
    <r>
      <rPr>
        <b/>
        <sz val="11"/>
        <color rgb="FFFF0000"/>
        <rFont val="Aptos Narrow"/>
        <family val="2"/>
        <scheme val="minor"/>
      </rPr>
      <t>k</t>
    </r>
    <r>
      <rPr>
        <sz val="11"/>
        <color theme="1"/>
        <rFont val="Aptos Narrow"/>
        <family val="2"/>
        <scheme val="minor"/>
      </rPr>
      <t xml:space="preserve"> fromages non-conforme</t>
    </r>
  </si>
  <si>
    <r>
      <t xml:space="preserve">2 - Probabilité de tomber </t>
    </r>
    <r>
      <rPr>
        <sz val="11"/>
        <color rgb="FFFF0000"/>
        <rFont val="Aptos Narrow"/>
        <family val="2"/>
        <scheme val="minor"/>
      </rPr>
      <t>au maximum</t>
    </r>
    <r>
      <rPr>
        <sz val="11"/>
        <color theme="1"/>
        <rFont val="Aptos Narrow"/>
        <family val="2"/>
        <scheme val="minor"/>
      </rPr>
      <t xml:space="preserve">  sur </t>
    </r>
    <r>
      <rPr>
        <b/>
        <sz val="11"/>
        <color rgb="FFFF0000"/>
        <rFont val="Aptos Narrow"/>
        <family val="2"/>
        <scheme val="minor"/>
      </rPr>
      <t>k</t>
    </r>
    <r>
      <rPr>
        <sz val="11"/>
        <color theme="1"/>
        <rFont val="Aptos Narrow"/>
        <family val="2"/>
        <scheme val="minor"/>
      </rPr>
      <t xml:space="preserve"> fromages non-conforme</t>
    </r>
  </si>
  <si>
    <t>P(X=0)</t>
  </si>
  <si>
    <r>
      <t>P(X</t>
    </r>
    <r>
      <rPr>
        <sz val="11"/>
        <color rgb="FFFF0000"/>
        <rFont val="Aptos Narrow"/>
        <family val="2"/>
        <scheme val="minor"/>
      </rPr>
      <t>&lt;</t>
    </r>
    <r>
      <rPr>
        <sz val="11"/>
        <color theme="1"/>
        <rFont val="Aptos Narrow"/>
        <family val="2"/>
        <scheme val="minor"/>
      </rPr>
      <t>2)=P(X=0)+P(X=1)+P(X=2)</t>
    </r>
  </si>
  <si>
    <r>
      <t>P(X)</t>
    </r>
    <r>
      <rPr>
        <sz val="11"/>
        <color rgb="FFFF0000"/>
        <rFont val="Aptos Narrow"/>
        <family val="2"/>
        <scheme val="minor"/>
      </rPr>
      <t>&gt;=</t>
    </r>
    <r>
      <rPr>
        <sz val="11"/>
        <color theme="1"/>
        <rFont val="Aptos Narrow"/>
        <family val="2"/>
        <scheme val="minor"/>
      </rPr>
      <t xml:space="preserve"> K = 1-P(X&lt;2) = 1-(P(X=0)+P(X=1))</t>
    </r>
  </si>
  <si>
    <t>1-(+M20+M21+M22) =</t>
  </si>
  <si>
    <r>
      <t xml:space="preserve">3 - Probabilité de tomber </t>
    </r>
    <r>
      <rPr>
        <sz val="11"/>
        <color rgb="FFFF0000"/>
        <rFont val="Aptos Narrow"/>
        <family val="2"/>
        <scheme val="minor"/>
      </rPr>
      <t>aumoins</t>
    </r>
    <r>
      <rPr>
        <sz val="11"/>
        <color theme="1"/>
        <rFont val="Aptos Narrow"/>
        <family val="2"/>
        <scheme val="minor"/>
      </rPr>
      <t xml:space="preserve"> sur </t>
    </r>
    <r>
      <rPr>
        <b/>
        <sz val="11"/>
        <color rgb="FFFF0000"/>
        <rFont val="Aptos Narrow"/>
        <family val="2"/>
        <scheme val="minor"/>
      </rPr>
      <t>k</t>
    </r>
    <r>
      <rPr>
        <sz val="11"/>
        <color theme="1"/>
        <rFont val="Aptos Narrow"/>
        <family val="2"/>
        <scheme val="minor"/>
      </rPr>
      <t xml:space="preserve"> fromages non-conforme</t>
    </r>
  </si>
  <si>
    <t>Dans une fromagerie, le responsable qualité veut calculer semon certain critères, les probabilités de tomber sur des fromages non conforme.</t>
  </si>
  <si>
    <t>Probabilité de tomber sur un formage non conforme (succès)</t>
  </si>
  <si>
    <t>Probabilité de ne pas  tomber sur un formage non conforme (échec)</t>
  </si>
  <si>
    <t>- Evénements indépendant</t>
  </si>
  <si>
    <t>- 2 issues possible no-conforme ou conforme</t>
  </si>
  <si>
    <t>- On dispose des paramètres n,p,q</t>
  </si>
  <si>
    <r>
      <t xml:space="preserve">4 - Probabilité de tomber des fromages non-conforme dans un  </t>
    </r>
    <r>
      <rPr>
        <sz val="11"/>
        <color rgb="FFFF0000"/>
        <rFont val="Aptos Narrow"/>
        <family val="2"/>
        <scheme val="minor"/>
      </rPr>
      <t>intervalle</t>
    </r>
  </si>
  <si>
    <t>P(kn-1 &lt; x &lt;kn+2) = P(X=kn-1) + P(X=kn) + P(X=k-n+1)</t>
  </si>
  <si>
    <t>kn-1</t>
  </si>
  <si>
    <t>kn</t>
  </si>
  <si>
    <t>kn+2</t>
  </si>
  <si>
    <r>
      <t xml:space="preserve">5 - Probabilité de tomber sur </t>
    </r>
    <r>
      <rPr>
        <sz val="11"/>
        <color rgb="FFFF0000"/>
        <rFont val="Aptos Narrow"/>
        <family val="2"/>
        <scheme val="minor"/>
      </rPr>
      <t>aucun</t>
    </r>
    <r>
      <rPr>
        <sz val="11"/>
        <color theme="1"/>
        <rFont val="Aptos Narrow"/>
        <family val="2"/>
        <scheme val="minor"/>
      </rPr>
      <t xml:space="preserve"> fromages non-conforme</t>
    </r>
  </si>
  <si>
    <t>P(X=k)=</t>
  </si>
  <si>
    <t>k (aucun)</t>
  </si>
  <si>
    <r>
      <t xml:space="preserve">Rechercher l'échantillon </t>
    </r>
    <r>
      <rPr>
        <b/>
        <sz val="11"/>
        <color rgb="FFFF0000"/>
        <rFont val="Aptos Narrow"/>
        <family val="2"/>
        <scheme val="minor"/>
      </rPr>
      <t>n</t>
    </r>
    <r>
      <rPr>
        <sz val="11"/>
        <color theme="1"/>
        <rFont val="Aptos Narrow"/>
        <family val="2"/>
        <scheme val="minor"/>
      </rPr>
      <t xml:space="preserve"> pour </t>
    </r>
  </si>
  <si>
    <t>^n</t>
  </si>
  <si>
    <t>ln</t>
  </si>
  <si>
    <t>M</t>
  </si>
  <si>
    <t>Xi</t>
  </si>
  <si>
    <t>Yi</t>
  </si>
  <si>
    <t>X-X*</t>
  </si>
  <si>
    <t>Y-Y*</t>
  </si>
  <si>
    <t>(X-X*)²</t>
  </si>
  <si>
    <t>(Y-Y*)²</t>
  </si>
  <si>
    <t>(X-X*)(Y-Y*)</t>
  </si>
  <si>
    <t>y=ax+b</t>
  </si>
  <si>
    <t>Somme Xi</t>
  </si>
  <si>
    <t>Somme Yi</t>
  </si>
  <si>
    <t>X* moyenne</t>
  </si>
  <si>
    <t>Y* moyenne</t>
  </si>
  <si>
    <t>Nombre effectif</t>
  </si>
  <si>
    <t>ln(xi)</t>
  </si>
  <si>
    <t>Somme ln(Xi)</t>
  </si>
  <si>
    <t>ln(yi)</t>
  </si>
  <si>
    <t>Somme ln(Yi)</t>
  </si>
  <si>
    <t>Somme ln(xi)</t>
  </si>
  <si>
    <t>y=a lnx + b</t>
  </si>
  <si>
    <t>Calcul de a</t>
  </si>
  <si>
    <t>/</t>
  </si>
  <si>
    <t>Calcul de b</t>
  </si>
  <si>
    <t>-</t>
  </si>
  <si>
    <t>y=1,44x-0,04</t>
  </si>
  <si>
    <t>coefficient de corrélation</t>
  </si>
  <si>
    <t>r</t>
  </si>
  <si>
    <t>coefficient de détermination</t>
  </si>
  <si>
    <t>R²</t>
  </si>
  <si>
    <t>*</t>
  </si>
  <si>
    <t>Année 7</t>
  </si>
  <si>
    <t>y=3,58 ln(x)+1,07</t>
  </si>
  <si>
    <t>y=a ln(x)+b</t>
  </si>
  <si>
    <t>y=e^ax+b</t>
  </si>
  <si>
    <t>Calul de B</t>
  </si>
  <si>
    <t>evec B=e^b</t>
  </si>
  <si>
    <t xml:space="preserve">Y=Be^ax </t>
  </si>
  <si>
    <t>Calcul de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</si>
</sst>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0.0"/>
    <numFmt numFmtId="165" formatCode="0.0000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6">
    <border>
      <left/>
      <right/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ck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/>
      <bottom style="thin">
        <color rgb="FF00B050"/>
      </bottom>
      <diagonal/>
    </border>
    <border>
      <left/>
      <right style="thin">
        <color rgb="FF00B050"/>
      </right>
      <top style="thick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ck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n">
        <color rgb="FF00B050"/>
      </bottom>
      <diagonal/>
    </border>
    <border>
      <left style="thick">
        <color rgb="FF00B050"/>
      </left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/>
      <bottom style="thin">
        <color rgb="FF00B050"/>
      </bottom>
      <diagonal/>
    </border>
    <border>
      <left style="thick">
        <color rgb="FF00B050"/>
      </left>
      <right style="thick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n">
        <color rgb="FF00B050"/>
      </right>
      <top/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/>
      <bottom style="thick">
        <color rgb="FF00B050"/>
      </bottom>
      <diagonal/>
    </border>
    <border>
      <left style="thin">
        <color rgb="FF00B050"/>
      </left>
      <right style="thick">
        <color rgb="FF00B050"/>
      </right>
      <top/>
      <bottom style="thick">
        <color rgb="FF00B05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00B050"/>
      </left>
      <right style="thin">
        <color rgb="FF00B050"/>
      </right>
      <top/>
      <bottom style="thin">
        <color rgb="FF00B050"/>
      </bottom>
      <diagonal/>
    </border>
    <border>
      <left style="thick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/>
      <right style="thick">
        <color rgb="FF00B050"/>
      </right>
      <top style="thin">
        <color rgb="FF00B050"/>
      </top>
      <bottom/>
      <diagonal/>
    </border>
    <border>
      <left style="thick">
        <color rgb="FFFF0000"/>
      </left>
      <right/>
      <top/>
      <bottom/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ck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ck">
        <color rgb="FF00B050"/>
      </right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ck">
        <color rgb="FFFF0000"/>
      </left>
      <right style="thin">
        <color rgb="FF00B050"/>
      </right>
      <top/>
      <bottom style="thick">
        <color rgb="FFFF0000"/>
      </bottom>
      <diagonal/>
    </border>
    <border>
      <left style="thin">
        <color rgb="FF00B05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/>
      <top style="thin">
        <color rgb="FF00B050"/>
      </top>
      <bottom/>
      <diagonal/>
    </border>
    <border>
      <left style="thin">
        <color rgb="FF00B050"/>
      </left>
      <right style="thick">
        <color rgb="FF00B050"/>
      </right>
      <top style="thick">
        <color rgb="FF00B050"/>
      </top>
      <bottom/>
      <diagonal/>
    </border>
    <border>
      <left style="thin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n">
        <color rgb="FF00B050"/>
      </right>
      <top style="thick">
        <color rgb="FF00B050"/>
      </top>
      <bottom/>
      <diagonal/>
    </border>
    <border>
      <left style="thin">
        <color rgb="FF00B050"/>
      </left>
      <right style="thin">
        <color rgb="FF00B050"/>
      </right>
      <top style="thick">
        <color rgb="FF00B050"/>
      </top>
      <bottom/>
      <diagonal/>
    </border>
    <border>
      <left/>
      <right/>
      <top style="thick">
        <color auto="1"/>
      </top>
      <bottom/>
      <diagonal/>
    </border>
    <border>
      <left style="thick">
        <color rgb="FF00B050"/>
      </left>
      <right/>
      <top style="thin">
        <color rgb="FF00B050"/>
      </top>
      <bottom style="thick">
        <color rgb="FF00B050"/>
      </bottom>
      <diagonal/>
    </border>
    <border>
      <left/>
      <right/>
      <top style="thin">
        <color rgb="FF00B050"/>
      </top>
      <bottom style="thick">
        <color rgb="FF00B050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1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/>
    <xf numFmtId="164" fontId="0" fillId="4" borderId="0" xfId="0" applyNumberForma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/>
    <xf numFmtId="0" fontId="1" fillId="0" borderId="0" xfId="0" applyFont="1"/>
    <xf numFmtId="2" fontId="1" fillId="0" borderId="0" xfId="0" applyNumberFormat="1" applyFont="1"/>
    <xf numFmtId="0" fontId="0" fillId="2" borderId="0" xfId="0" applyFill="1"/>
    <xf numFmtId="164" fontId="0" fillId="8" borderId="0" xfId="0" applyNumberFormat="1" applyFill="1"/>
    <xf numFmtId="2" fontId="0" fillId="8" borderId="0" xfId="0" applyNumberFormat="1" applyFill="1"/>
    <xf numFmtId="2" fontId="0" fillId="8" borderId="0" xfId="0" applyNumberFormat="1" applyFill="1" applyAlignment="1">
      <alignment horizontal="right" indent="1"/>
    </xf>
    <xf numFmtId="2" fontId="0" fillId="4" borderId="0" xfId="0" applyNumberFormat="1" applyFill="1"/>
    <xf numFmtId="0" fontId="0" fillId="9" borderId="0" xfId="0" applyFill="1"/>
    <xf numFmtId="0" fontId="0" fillId="0" borderId="1" xfId="0" applyBorder="1"/>
    <xf numFmtId="164" fontId="0" fillId="2" borderId="0" xfId="0" applyNumberFormat="1" applyFill="1"/>
    <xf numFmtId="0" fontId="2" fillId="0" borderId="0" xfId="0" applyFont="1"/>
    <xf numFmtId="0" fontId="3" fillId="0" borderId="0" xfId="0" applyFont="1"/>
    <xf numFmtId="164" fontId="0" fillId="4" borderId="2" xfId="0" applyNumberFormat="1" applyFill="1" applyBorder="1"/>
    <xf numFmtId="164" fontId="0" fillId="4" borderId="3" xfId="0" applyNumberFormat="1" applyFill="1" applyBorder="1"/>
    <xf numFmtId="164" fontId="0" fillId="2" borderId="4" xfId="0" applyNumberFormat="1" applyFill="1" applyBorder="1"/>
    <xf numFmtId="164" fontId="0" fillId="4" borderId="5" xfId="0" applyNumberFormat="1" applyFill="1" applyBorder="1"/>
    <xf numFmtId="164" fontId="0" fillId="4" borderId="6" xfId="0" applyNumberFormat="1" applyFill="1" applyBorder="1"/>
    <xf numFmtId="164" fontId="0" fillId="4" borderId="7" xfId="0" applyNumberFormat="1" applyFill="1" applyBorder="1"/>
    <xf numFmtId="164" fontId="0" fillId="4" borderId="8" xfId="0" applyNumberFormat="1" applyFill="1" applyBorder="1"/>
    <xf numFmtId="164" fontId="0" fillId="4" borderId="9" xfId="0" applyNumberFormat="1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9" fontId="0" fillId="0" borderId="0" xfId="0" applyNumberFormat="1"/>
    <xf numFmtId="9" fontId="0" fillId="6" borderId="0" xfId="0" applyNumberFormat="1" applyFill="1"/>
    <xf numFmtId="0" fontId="0" fillId="0" borderId="0" xfId="0" quotePrefix="1" applyAlignment="1">
      <alignment horizontal="center"/>
    </xf>
    <xf numFmtId="0" fontId="0" fillId="6" borderId="0" xfId="0" applyFill="1"/>
    <xf numFmtId="1" fontId="0" fillId="7" borderId="0" xfId="0" applyNumberFormat="1" applyFill="1" applyAlignment="1">
      <alignment horizontal="center"/>
    </xf>
    <xf numFmtId="44" fontId="0" fillId="0" borderId="0" xfId="1" applyFont="1"/>
    <xf numFmtId="0" fontId="0" fillId="0" borderId="35" xfId="0" applyBorder="1"/>
    <xf numFmtId="0" fontId="0" fillId="0" borderId="36" xfId="0" applyBorder="1"/>
    <xf numFmtId="0" fontId="0" fillId="0" borderId="34" xfId="0" applyBorder="1"/>
    <xf numFmtId="0" fontId="2" fillId="0" borderId="3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2" fontId="0" fillId="0" borderId="0" xfId="0" applyNumberFormat="1"/>
    <xf numFmtId="2" fontId="0" fillId="0" borderId="0" xfId="0" applyNumberFormat="1"/>
    <xf numFmtId="44" fontId="0" fillId="10" borderId="27" xfId="1" applyFont="1" applyFill="1" applyBorder="1"/>
    <xf numFmtId="44" fontId="0" fillId="10" borderId="22" xfId="1" applyFont="1" applyFill="1" applyBorder="1"/>
    <xf numFmtId="44" fontId="0" fillId="10" borderId="25" xfId="1" applyFont="1" applyFill="1" applyBorder="1"/>
    <xf numFmtId="44" fontId="0" fillId="10" borderId="28" xfId="1" applyFont="1" applyFill="1" applyBorder="1"/>
    <xf numFmtId="44" fontId="0" fillId="10" borderId="23" xfId="1" applyFont="1" applyFill="1" applyBorder="1"/>
    <xf numFmtId="44" fontId="0" fillId="10" borderId="26" xfId="1" applyFont="1" applyFill="1" applyBorder="1"/>
    <xf numFmtId="0" fontId="0" fillId="0" borderId="24" xfId="0" applyBorder="1"/>
    <xf numFmtId="2" fontId="0" fillId="0" borderId="22" xfId="0" applyNumberFormat="1" applyBorder="1"/>
    <xf numFmtId="2" fontId="0" fillId="0" borderId="25" xfId="0" applyNumberFormat="1" applyBorder="1"/>
    <xf numFmtId="2" fontId="0" fillId="8" borderId="22" xfId="0" applyNumberFormat="1" applyFill="1" applyBorder="1"/>
    <xf numFmtId="2" fontId="0" fillId="8" borderId="25" xfId="0" applyNumberFormat="1" applyFill="1" applyBorder="1"/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2" fontId="0" fillId="0" borderId="26" xfId="0" applyNumberFormat="1" applyBorder="1"/>
    <xf numFmtId="2" fontId="0" fillId="0" borderId="26" xfId="2" applyNumberFormat="1" applyFont="1" applyBorder="1"/>
    <xf numFmtId="2" fontId="0" fillId="10" borderId="19" xfId="1" applyNumberFormat="1" applyFont="1" applyFill="1" applyBorder="1"/>
    <xf numFmtId="2" fontId="0" fillId="10" borderId="20" xfId="1" applyNumberFormat="1" applyFont="1" applyFill="1" applyBorder="1"/>
    <xf numFmtId="2" fontId="0" fillId="0" borderId="23" xfId="0" applyNumberFormat="1" applyBorder="1"/>
    <xf numFmtId="2" fontId="0" fillId="10" borderId="22" xfId="0" applyNumberFormat="1" applyFill="1" applyBorder="1"/>
    <xf numFmtId="2" fontId="0" fillId="10" borderId="23" xfId="0" applyNumberFormat="1" applyFill="1" applyBorder="1"/>
    <xf numFmtId="2" fontId="2" fillId="0" borderId="37" xfId="0" applyNumberFormat="1" applyFont="1" applyBorder="1" applyAlignment="1">
      <alignment horizontal="center"/>
    </xf>
    <xf numFmtId="2" fontId="2" fillId="0" borderId="38" xfId="0" applyNumberFormat="1" applyFont="1" applyBorder="1" applyAlignment="1">
      <alignment horizontal="center"/>
    </xf>
    <xf numFmtId="2" fontId="2" fillId="0" borderId="39" xfId="0" applyNumberFormat="1" applyFont="1" applyBorder="1" applyAlignment="1">
      <alignment horizontal="center"/>
    </xf>
    <xf numFmtId="2" fontId="0" fillId="10" borderId="22" xfId="1" applyNumberFormat="1" applyFont="1" applyFill="1" applyBorder="1"/>
    <xf numFmtId="2" fontId="0" fillId="10" borderId="23" xfId="1" applyNumberFormat="1" applyFont="1" applyFill="1" applyBorder="1"/>
    <xf numFmtId="0" fontId="0" fillId="11" borderId="31" xfId="0" applyFill="1" applyBorder="1"/>
    <xf numFmtId="0" fontId="0" fillId="11" borderId="32" xfId="0" applyFill="1" applyBorder="1"/>
    <xf numFmtId="0" fontId="0" fillId="11" borderId="30" xfId="0" applyFill="1" applyBorder="1"/>
    <xf numFmtId="0" fontId="0" fillId="11" borderId="27" xfId="0" applyFill="1" applyBorder="1"/>
    <xf numFmtId="0" fontId="0" fillId="11" borderId="22" xfId="0" applyFill="1" applyBorder="1"/>
    <xf numFmtId="0" fontId="0" fillId="11" borderId="25" xfId="0" applyFill="1" applyBorder="1"/>
    <xf numFmtId="2" fontId="0" fillId="11" borderId="22" xfId="1" applyNumberFormat="1" applyFont="1" applyFill="1" applyBorder="1"/>
    <xf numFmtId="2" fontId="0" fillId="11" borderId="22" xfId="0" applyNumberFormat="1" applyFill="1" applyBorder="1"/>
    <xf numFmtId="2" fontId="0" fillId="11" borderId="23" xfId="1" applyNumberFormat="1" applyFont="1" applyFill="1" applyBorder="1"/>
    <xf numFmtId="2" fontId="0" fillId="11" borderId="23" xfId="0" applyNumberFormat="1" applyFill="1" applyBorder="1"/>
    <xf numFmtId="2" fontId="0" fillId="11" borderId="19" xfId="1" applyNumberFormat="1" applyFont="1" applyFill="1" applyBorder="1"/>
    <xf numFmtId="2" fontId="0" fillId="11" borderId="20" xfId="1" applyNumberFormat="1" applyFont="1" applyFill="1" applyBorder="1"/>
    <xf numFmtId="2" fontId="0" fillId="4" borderId="22" xfId="0" applyNumberFormat="1" applyFill="1" applyBorder="1"/>
    <xf numFmtId="2" fontId="0" fillId="4" borderId="23" xfId="0" applyNumberFormat="1" applyFill="1" applyBorder="1"/>
    <xf numFmtId="0" fontId="0" fillId="4" borderId="34" xfId="0" applyFill="1" applyBorder="1"/>
    <xf numFmtId="164" fontId="0" fillId="8" borderId="31" xfId="0" applyNumberFormat="1" applyFill="1" applyBorder="1"/>
    <xf numFmtId="164" fontId="0" fillId="8" borderId="27" xfId="1" applyNumberFormat="1" applyFont="1" applyFill="1" applyBorder="1"/>
    <xf numFmtId="164" fontId="0" fillId="8" borderId="27" xfId="0" applyNumberFormat="1" applyFill="1" applyBorder="1"/>
    <xf numFmtId="164" fontId="6" fillId="8" borderId="27" xfId="0" applyNumberFormat="1" applyFont="1" applyFill="1" applyBorder="1"/>
    <xf numFmtId="164" fontId="0" fillId="8" borderId="28" xfId="1" applyNumberFormat="1" applyFont="1" applyFill="1" applyBorder="1"/>
    <xf numFmtId="164" fontId="0" fillId="8" borderId="32" xfId="0" applyNumberFormat="1" applyFill="1" applyBorder="1"/>
    <xf numFmtId="164" fontId="0" fillId="8" borderId="22" xfId="1" applyNumberFormat="1" applyFont="1" applyFill="1" applyBorder="1"/>
    <xf numFmtId="164" fontId="0" fillId="8" borderId="22" xfId="0" applyNumberFormat="1" applyFill="1" applyBorder="1"/>
    <xf numFmtId="164" fontId="0" fillId="8" borderId="23" xfId="1" applyNumberFormat="1" applyFont="1" applyFill="1" applyBorder="1"/>
    <xf numFmtId="164" fontId="0" fillId="12" borderId="30" xfId="0" applyNumberFormat="1" applyFill="1" applyBorder="1"/>
    <xf numFmtId="164" fontId="0" fillId="12" borderId="26" xfId="0" applyNumberFormat="1" applyFill="1" applyBorder="1"/>
    <xf numFmtId="0" fontId="0" fillId="4" borderId="0" xfId="0" applyFill="1" applyAlignment="1">
      <alignment horizontal="center"/>
    </xf>
    <xf numFmtId="0" fontId="0" fillId="0" borderId="38" xfId="0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9" fontId="0" fillId="10" borderId="40" xfId="0" applyNumberFormat="1" applyFill="1" applyBorder="1" applyAlignment="1">
      <alignment horizontal="center"/>
    </xf>
    <xf numFmtId="9" fontId="0" fillId="10" borderId="41" xfId="0" applyNumberFormat="1" applyFill="1" applyBorder="1" applyAlignment="1">
      <alignment horizontal="center"/>
    </xf>
    <xf numFmtId="9" fontId="0" fillId="10" borderId="42" xfId="0" applyNumberFormat="1" applyFill="1" applyBorder="1" applyAlignment="1">
      <alignment horizontal="center"/>
    </xf>
    <xf numFmtId="0" fontId="8" fillId="0" borderId="0" xfId="0" applyFont="1"/>
    <xf numFmtId="0" fontId="8" fillId="0" borderId="0" xfId="0" quotePrefix="1" applyFont="1"/>
    <xf numFmtId="0" fontId="7" fillId="0" borderId="0" xfId="0" applyFont="1"/>
    <xf numFmtId="0" fontId="0" fillId="0" borderId="21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0" fillId="0" borderId="26" xfId="0" applyBorder="1"/>
    <xf numFmtId="0" fontId="0" fillId="0" borderId="8" xfId="0" applyBorder="1"/>
    <xf numFmtId="0" fontId="0" fillId="0" borderId="9" xfId="0" applyBorder="1"/>
    <xf numFmtId="0" fontId="0" fillId="0" borderId="29" xfId="0" applyBorder="1"/>
    <xf numFmtId="0" fontId="0" fillId="0" borderId="32" xfId="0" applyBorder="1"/>
    <xf numFmtId="0" fontId="0" fillId="4" borderId="32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4" borderId="50" xfId="0" applyFill="1" applyBorder="1" applyAlignment="1">
      <alignment horizontal="center"/>
    </xf>
    <xf numFmtId="0" fontId="0" fillId="4" borderId="5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0" borderId="54" xfId="0" applyBorder="1"/>
    <xf numFmtId="0" fontId="0" fillId="7" borderId="25" xfId="0" applyFill="1" applyBorder="1" applyAlignment="1">
      <alignment horizontal="center"/>
    </xf>
    <xf numFmtId="0" fontId="2" fillId="0" borderId="40" xfId="0" applyFont="1" applyBorder="1" applyAlignment="1">
      <alignment horizontal="center"/>
    </xf>
    <xf numFmtId="44" fontId="0" fillId="2" borderId="28" xfId="1" applyFont="1" applyFill="1" applyBorder="1" applyAlignment="1">
      <alignment horizontal="center"/>
    </xf>
    <xf numFmtId="44" fontId="0" fillId="2" borderId="23" xfId="1" applyFont="1" applyFill="1" applyBorder="1" applyAlignment="1">
      <alignment horizontal="center"/>
    </xf>
    <xf numFmtId="44" fontId="0" fillId="2" borderId="26" xfId="1" applyFont="1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44" fontId="0" fillId="4" borderId="27" xfId="0" applyNumberFormat="1" applyFill="1" applyBorder="1"/>
    <xf numFmtId="0" fontId="0" fillId="4" borderId="28" xfId="0" applyFill="1" applyBorder="1"/>
    <xf numFmtId="44" fontId="0" fillId="4" borderId="22" xfId="0" applyNumberFormat="1" applyFill="1" applyBorder="1"/>
    <xf numFmtId="0" fontId="0" fillId="4" borderId="23" xfId="0" applyFill="1" applyBorder="1"/>
    <xf numFmtId="44" fontId="2" fillId="4" borderId="25" xfId="0" applyNumberFormat="1" applyFont="1" applyFill="1" applyBorder="1"/>
    <xf numFmtId="44" fontId="2" fillId="4" borderId="26" xfId="0" applyNumberFormat="1" applyFont="1" applyFill="1" applyBorder="1"/>
    <xf numFmtId="0" fontId="2" fillId="4" borderId="41" xfId="0" applyFont="1" applyFill="1" applyBorder="1" applyAlignment="1">
      <alignment horizontal="center"/>
    </xf>
    <xf numFmtId="44" fontId="2" fillId="4" borderId="41" xfId="1" applyFont="1" applyFill="1" applyBorder="1" applyAlignment="1">
      <alignment horizontal="right"/>
    </xf>
    <xf numFmtId="0" fontId="0" fillId="0" borderId="41" xfId="0" applyBorder="1"/>
    <xf numFmtId="0" fontId="0" fillId="0" borderId="42" xfId="0" applyBorder="1"/>
    <xf numFmtId="0" fontId="2" fillId="4" borderId="62" xfId="0" applyFont="1" applyFill="1" applyBorder="1" applyAlignment="1">
      <alignment horizontal="center"/>
    </xf>
    <xf numFmtId="0" fontId="2" fillId="4" borderId="59" xfId="0" applyFont="1" applyFill="1" applyBorder="1" applyAlignment="1">
      <alignment horizontal="right"/>
    </xf>
    <xf numFmtId="0" fontId="0" fillId="13" borderId="24" xfId="0" applyFill="1" applyBorder="1" applyAlignment="1">
      <alignment horizontal="center" vertical="center"/>
    </xf>
    <xf numFmtId="0" fontId="0" fillId="13" borderId="25" xfId="0" applyFill="1" applyBorder="1" applyAlignment="1">
      <alignment horizontal="center" vertical="center"/>
    </xf>
    <xf numFmtId="0" fontId="0" fillId="13" borderId="26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11" borderId="0" xfId="0" applyFont="1" applyFill="1" applyAlignment="1">
      <alignment horizontal="center"/>
    </xf>
    <xf numFmtId="2" fontId="0" fillId="3" borderId="0" xfId="0" applyNumberFormat="1" applyFill="1"/>
    <xf numFmtId="0" fontId="0" fillId="8" borderId="0" xfId="0" applyFill="1" applyAlignment="1">
      <alignment horizontal="center"/>
    </xf>
    <xf numFmtId="0" fontId="0" fillId="8" borderId="0" xfId="0" quotePrefix="1" applyFill="1" applyAlignment="1">
      <alignment horizontal="center"/>
    </xf>
    <xf numFmtId="2" fontId="0" fillId="0" borderId="0" xfId="0" applyNumberFormat="1" applyAlignment="1">
      <alignment horizontal="center"/>
    </xf>
    <xf numFmtId="44" fontId="0" fillId="8" borderId="0" xfId="1" applyFont="1" applyFill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0" borderId="0" xfId="0" quotePrefix="1"/>
    <xf numFmtId="166" fontId="0" fillId="0" borderId="0" xfId="0" applyNumberFormat="1"/>
    <xf numFmtId="9" fontId="0" fillId="2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2" fillId="8" borderId="0" xfId="0" applyNumberFormat="1" applyFont="1" applyFill="1"/>
    <xf numFmtId="2" fontId="2" fillId="8" borderId="63" xfId="0" applyNumberFormat="1" applyFont="1" applyFill="1" applyBorder="1"/>
    <xf numFmtId="2" fontId="2" fillId="5" borderId="0" xfId="0" applyNumberFormat="1" applyFont="1" applyFill="1"/>
    <xf numFmtId="0" fontId="7" fillId="0" borderId="0" xfId="0" quotePrefix="1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63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5" xfId="0" applyFont="1" applyBorder="1"/>
    <xf numFmtId="2" fontId="0" fillId="0" borderId="21" xfId="0" applyNumberFormat="1" applyBorder="1"/>
    <xf numFmtId="2" fontId="2" fillId="0" borderId="25" xfId="0" applyNumberFormat="1" applyFont="1" applyBorder="1"/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20" xfId="0" applyFont="1" applyFill="1" applyBorder="1" applyAlignment="1">
      <alignment horizontal="center"/>
    </xf>
    <xf numFmtId="0" fontId="0" fillId="0" borderId="18" xfId="0" applyBorder="1"/>
    <xf numFmtId="2" fontId="0" fillId="0" borderId="20" xfId="0" applyNumberFormat="1" applyBorder="1"/>
    <xf numFmtId="0" fontId="6" fillId="0" borderId="21" xfId="0" applyFont="1" applyBorder="1"/>
    <xf numFmtId="2" fontId="2" fillId="0" borderId="23" xfId="0" applyNumberFormat="1" applyFont="1" applyBorder="1"/>
    <xf numFmtId="2" fontId="0" fillId="9" borderId="23" xfId="0" applyNumberFormat="1" applyFill="1" applyBorder="1"/>
    <xf numFmtId="0" fontId="2" fillId="9" borderId="25" xfId="0" applyFont="1" applyFill="1" applyBorder="1"/>
    <xf numFmtId="0" fontId="0" fillId="7" borderId="26" xfId="0" applyFill="1" applyBorder="1"/>
    <xf numFmtId="2" fontId="0" fillId="0" borderId="0" xfId="0" quotePrefix="1" applyNumberFormat="1" applyAlignment="1">
      <alignment horizontal="center"/>
    </xf>
    <xf numFmtId="0" fontId="2" fillId="8" borderId="21" xfId="0" applyFont="1" applyFill="1" applyBorder="1" applyAlignment="1">
      <alignment horizontal="center"/>
    </xf>
    <xf numFmtId="2" fontId="2" fillId="8" borderId="23" xfId="0" applyNumberFormat="1" applyFont="1" applyFill="1" applyBorder="1" applyAlignment="1">
      <alignment horizontal="center"/>
    </xf>
    <xf numFmtId="0" fontId="2" fillId="8" borderId="24" xfId="0" applyFont="1" applyFill="1" applyBorder="1" applyAlignment="1">
      <alignment horizontal="center"/>
    </xf>
    <xf numFmtId="2" fontId="2" fillId="8" borderId="26" xfId="0" applyNumberFormat="1" applyFont="1" applyFill="1" applyBorder="1" applyAlignment="1">
      <alignment horizontal="center"/>
    </xf>
    <xf numFmtId="2" fontId="0" fillId="7" borderId="26" xfId="0" applyNumberFormat="1" applyFill="1" applyBorder="1"/>
    <xf numFmtId="166" fontId="0" fillId="0" borderId="23" xfId="0" applyNumberFormat="1" applyBorder="1"/>
    <xf numFmtId="166" fontId="0" fillId="7" borderId="26" xfId="0" applyNumberFormat="1" applyFill="1" applyBorder="1"/>
    <xf numFmtId="2" fontId="0" fillId="10" borderId="0" xfId="0" applyNumberFormat="1" applyFill="1"/>
    <xf numFmtId="0" fontId="0" fillId="6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7" borderId="0" xfId="0" applyFill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10" borderId="18" xfId="0" applyFill="1" applyBorder="1" applyAlignment="1">
      <alignment horizontal="right"/>
    </xf>
    <xf numFmtId="0" fontId="0" fillId="10" borderId="19" xfId="0" applyFill="1" applyBorder="1" applyAlignment="1">
      <alignment horizontal="right"/>
    </xf>
    <xf numFmtId="0" fontId="0" fillId="11" borderId="21" xfId="0" applyFill="1" applyBorder="1" applyAlignment="1">
      <alignment horizontal="right"/>
    </xf>
    <xf numFmtId="0" fontId="0" fillId="11" borderId="22" xfId="0" applyFill="1" applyBorder="1" applyAlignment="1">
      <alignment horizontal="right"/>
    </xf>
    <xf numFmtId="42" fontId="0" fillId="4" borderId="21" xfId="0" applyNumberFormat="1" applyFill="1" applyBorder="1" applyAlignment="1">
      <alignment horizontal="left"/>
    </xf>
    <xf numFmtId="42" fontId="0" fillId="4" borderId="22" xfId="0" applyNumberFormat="1" applyFill="1" applyBorder="1" applyAlignment="1">
      <alignment horizontal="left"/>
    </xf>
    <xf numFmtId="0" fontId="0" fillId="10" borderId="21" xfId="0" applyFill="1" applyBorder="1" applyAlignment="1">
      <alignment horizontal="right" indent="1"/>
    </xf>
    <xf numFmtId="0" fontId="0" fillId="10" borderId="22" xfId="0" applyFill="1" applyBorder="1" applyAlignment="1">
      <alignment horizontal="right" indent="1"/>
    </xf>
    <xf numFmtId="0" fontId="0" fillId="11" borderId="21" xfId="0" applyFill="1" applyBorder="1" applyAlignment="1">
      <alignment horizontal="right" indent="1"/>
    </xf>
    <xf numFmtId="0" fontId="0" fillId="11" borderId="22" xfId="0" applyFill="1" applyBorder="1" applyAlignment="1">
      <alignment horizontal="right" indent="1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11" borderId="18" xfId="0" applyFill="1" applyBorder="1" applyAlignment="1">
      <alignment horizontal="right"/>
    </xf>
    <xf numFmtId="0" fontId="0" fillId="11" borderId="19" xfId="0" applyFill="1" applyBorder="1" applyAlignment="1">
      <alignment horizontal="right"/>
    </xf>
    <xf numFmtId="0" fontId="0" fillId="10" borderId="21" xfId="0" applyFill="1" applyBorder="1" applyAlignment="1">
      <alignment horizontal="right"/>
    </xf>
    <xf numFmtId="0" fontId="0" fillId="10" borderId="22" xfId="0" applyFill="1" applyBorder="1" applyAlignment="1">
      <alignment horizontal="right"/>
    </xf>
    <xf numFmtId="42" fontId="0" fillId="0" borderId="21" xfId="0" applyNumberFormat="1" applyBorder="1"/>
    <xf numFmtId="42" fontId="0" fillId="0" borderId="22" xfId="0" applyNumberFormat="1" applyBorder="1"/>
    <xf numFmtId="0" fontId="0" fillId="3" borderId="0" xfId="0" applyFill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4" borderId="0" xfId="2" applyNumberFormat="1" applyFon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13" borderId="0" xfId="0" applyNumberFormat="1" applyFill="1" applyAlignment="1">
      <alignment horizontal="center"/>
    </xf>
    <xf numFmtId="10" fontId="0" fillId="7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8" xfId="0" applyFill="1" applyBorder="1" applyAlignment="1">
      <alignment horizontal="center"/>
    </xf>
    <xf numFmtId="0" fontId="0" fillId="13" borderId="0" xfId="0" applyFill="1" applyAlignment="1">
      <alignment horizontal="center"/>
    </xf>
    <xf numFmtId="2" fontId="0" fillId="8" borderId="0" xfId="0" applyNumberFormat="1" applyFill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13" borderId="37" xfId="0" applyFill="1" applyBorder="1" applyAlignment="1">
      <alignment horizontal="center"/>
    </xf>
    <xf numFmtId="0" fontId="0" fillId="13" borderId="39" xfId="0" applyFill="1" applyBorder="1" applyAlignment="1">
      <alignment horizontal="center"/>
    </xf>
    <xf numFmtId="0" fontId="2" fillId="5" borderId="33" xfId="0" applyFont="1" applyFill="1" applyBorder="1" applyAlignment="1">
      <alignment horizontal="center" vertical="center" textRotation="90"/>
    </xf>
    <xf numFmtId="0" fontId="2" fillId="5" borderId="36" xfId="0" applyFont="1" applyFill="1" applyBorder="1" applyAlignment="1">
      <alignment horizontal="center" vertical="center" textRotation="90"/>
    </xf>
    <xf numFmtId="0" fontId="2" fillId="5" borderId="46" xfId="0" applyFont="1" applyFill="1" applyBorder="1" applyAlignment="1">
      <alignment horizontal="center" vertical="center" textRotation="90"/>
    </xf>
    <xf numFmtId="0" fontId="2" fillId="5" borderId="34" xfId="0" applyFont="1" applyFill="1" applyBorder="1" applyAlignment="1">
      <alignment horizontal="center" vertical="center" textRotation="90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4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2" fillId="0" borderId="6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0" fillId="0" borderId="63" xfId="0" applyBorder="1" applyAlignment="1">
      <alignment horizontal="center"/>
    </xf>
    <xf numFmtId="0" fontId="0" fillId="13" borderId="18" xfId="0" applyFill="1" applyBorder="1" applyAlignment="1">
      <alignment horizontal="center" vertical="center"/>
    </xf>
    <xf numFmtId="0" fontId="0" fillId="13" borderId="21" xfId="0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 wrapText="1"/>
    </xf>
    <xf numFmtId="0" fontId="0" fillId="13" borderId="22" xfId="0" applyFill="1" applyBorder="1" applyAlignment="1">
      <alignment horizontal="center" vertical="center"/>
    </xf>
    <xf numFmtId="0" fontId="0" fillId="13" borderId="20" xfId="0" applyFill="1" applyBorder="1" applyAlignment="1">
      <alignment horizontal="center" vertical="center" wrapText="1"/>
    </xf>
    <xf numFmtId="0" fontId="0" fillId="13" borderId="23" xfId="0" applyFill="1" applyBorder="1" applyAlignment="1">
      <alignment horizontal="center" vertical="center"/>
    </xf>
    <xf numFmtId="0" fontId="0" fillId="13" borderId="29" xfId="0" applyFill="1" applyBorder="1" applyAlignment="1">
      <alignment horizontal="center"/>
    </xf>
    <xf numFmtId="0" fontId="0" fillId="13" borderId="32" xfId="0" applyFill="1" applyBorder="1" applyAlignment="1">
      <alignment horizontal="center"/>
    </xf>
    <xf numFmtId="0" fontId="0" fillId="13" borderId="30" xfId="0" applyFill="1" applyBorder="1" applyAlignment="1">
      <alignment horizontal="center"/>
    </xf>
    <xf numFmtId="0" fontId="0" fillId="13" borderId="19" xfId="0" applyFill="1" applyBorder="1" applyAlignment="1">
      <alignment horizontal="center"/>
    </xf>
    <xf numFmtId="0" fontId="0" fillId="13" borderId="22" xfId="0" applyFill="1" applyBorder="1" applyAlignment="1">
      <alignment horizontal="center"/>
    </xf>
    <xf numFmtId="0" fontId="0" fillId="13" borderId="25" xfId="0" applyFill="1" applyBorder="1" applyAlignment="1">
      <alignment horizontal="center"/>
    </xf>
    <xf numFmtId="0" fontId="0" fillId="13" borderId="59" xfId="0" applyFill="1" applyBorder="1" applyAlignment="1">
      <alignment horizontal="center"/>
    </xf>
    <xf numFmtId="0" fontId="0" fillId="13" borderId="60" xfId="0" applyFill="1" applyBorder="1" applyAlignment="1">
      <alignment horizontal="center"/>
    </xf>
    <xf numFmtId="0" fontId="0" fillId="13" borderId="42" xfId="0" applyFill="1" applyBorder="1" applyAlignment="1">
      <alignment horizontal="center"/>
    </xf>
    <xf numFmtId="0" fontId="2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center" vertical="center" wrapText="1"/>
    </xf>
    <xf numFmtId="0" fontId="0" fillId="13" borderId="0" xfId="0" applyFill="1" applyAlignment="1">
      <alignment horizontal="center" vertical="center"/>
    </xf>
    <xf numFmtId="0" fontId="0" fillId="8" borderId="0" xfId="0" quotePrefix="1" applyFill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8" borderId="0" xfId="0" applyFill="1" applyAlignment="1">
      <alignment horizontal="right"/>
    </xf>
    <xf numFmtId="0" fontId="0" fillId="14" borderId="0" xfId="0" quotePrefix="1" applyFill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0" xfId="0" applyBorder="1" applyAlignment="1">
      <alignment horizontal="center"/>
    </xf>
    <xf numFmtId="2" fontId="0" fillId="0" borderId="64" xfId="0" applyNumberFormat="1" applyBorder="1" applyAlignment="1">
      <alignment horizontal="center"/>
    </xf>
    <xf numFmtId="2" fontId="0" fillId="0" borderId="65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8" borderId="0" xfId="0" applyNumberFormat="1" applyFill="1" applyAlignment="1">
      <alignment horizontal="left"/>
    </xf>
    <xf numFmtId="2" fontId="0" fillId="5" borderId="0" xfId="0" applyNumberFormat="1" applyFill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CCFF66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166687</xdr:rowOff>
    </xdr:from>
    <xdr:ext cx="199414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B0AA6885-BA15-3333-0176-2704CAB3760C}"/>
                </a:ext>
              </a:extLst>
            </xdr:cNvPr>
            <xdr:cNvSpPr txBox="1"/>
          </xdr:nvSpPr>
          <xdr:spPr>
            <a:xfrm>
              <a:off x="2238375" y="166687"/>
              <a:ext cx="19941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400"/>
            </a:p>
          </xdr:txBody>
        </xdr:sp>
      </mc:Choice>
      <mc:Fallback xmlns="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B0AA6885-BA15-3333-0176-2704CAB3760C}"/>
                </a:ext>
              </a:extLst>
            </xdr:cNvPr>
            <xdr:cNvSpPr txBox="1"/>
          </xdr:nvSpPr>
          <xdr:spPr>
            <a:xfrm>
              <a:off x="2238375" y="166687"/>
              <a:ext cx="19941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0" i="0">
                  <a:latin typeface="Cambria Math" panose="02040503050406030204" pitchFamily="18" charset="0"/>
                </a:rPr>
                <a:t>𝑋_𝑖</a:t>
              </a:r>
              <a:endParaRPr lang="fr-FR" sz="1400"/>
            </a:p>
          </xdr:txBody>
        </xdr:sp>
      </mc:Fallback>
    </mc:AlternateContent>
    <xdr:clientData/>
  </xdr:oneCellAnchor>
  <xdr:oneCellAnchor>
    <xdr:from>
      <xdr:col>2</xdr:col>
      <xdr:colOff>323850</xdr:colOff>
      <xdr:row>0</xdr:row>
      <xdr:rowOff>147637</xdr:rowOff>
    </xdr:from>
    <xdr:ext cx="208134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C21C016F-D121-4744-9510-056936218F7E}"/>
                </a:ext>
              </a:extLst>
            </xdr:cNvPr>
            <xdr:cNvSpPr txBox="1"/>
          </xdr:nvSpPr>
          <xdr:spPr>
            <a:xfrm>
              <a:off x="3371850" y="147637"/>
              <a:ext cx="20813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400"/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C21C016F-D121-4744-9510-056936218F7E}"/>
                </a:ext>
              </a:extLst>
            </xdr:cNvPr>
            <xdr:cNvSpPr txBox="1"/>
          </xdr:nvSpPr>
          <xdr:spPr>
            <a:xfrm>
              <a:off x="3371850" y="147637"/>
              <a:ext cx="20813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0" i="0">
                  <a:latin typeface="Cambria Math" panose="02040503050406030204" pitchFamily="18" charset="0"/>
                </a:rPr>
                <a:t>𝑁_𝑖</a:t>
              </a:r>
              <a:endParaRPr lang="fr-FR" sz="1400"/>
            </a:p>
          </xdr:txBody>
        </xdr:sp>
      </mc:Fallback>
    </mc:AlternateContent>
    <xdr:clientData/>
  </xdr:oneCellAnchor>
  <xdr:oneCellAnchor>
    <xdr:from>
      <xdr:col>9</xdr:col>
      <xdr:colOff>47625</xdr:colOff>
      <xdr:row>0</xdr:row>
      <xdr:rowOff>171450</xdr:rowOff>
    </xdr:from>
    <xdr:ext cx="199414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ECB9FF82-3491-44AB-8B99-497286DD46DB}"/>
                </a:ext>
              </a:extLst>
            </xdr:cNvPr>
            <xdr:cNvSpPr txBox="1"/>
          </xdr:nvSpPr>
          <xdr:spPr>
            <a:xfrm>
              <a:off x="10715625" y="171450"/>
              <a:ext cx="19941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400"/>
            </a:p>
          </xdr:txBody>
        </xdr:sp>
      </mc:Choice>
      <mc:Fallback xmlns="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ECB9FF82-3491-44AB-8B99-497286DD46DB}"/>
                </a:ext>
              </a:extLst>
            </xdr:cNvPr>
            <xdr:cNvSpPr txBox="1"/>
          </xdr:nvSpPr>
          <xdr:spPr>
            <a:xfrm>
              <a:off x="10715625" y="171450"/>
              <a:ext cx="19941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0" i="0">
                  <a:latin typeface="Cambria Math" panose="02040503050406030204" pitchFamily="18" charset="0"/>
                </a:rPr>
                <a:t>𝑋_𝑖</a:t>
              </a:r>
              <a:endParaRPr lang="fr-FR" sz="1400"/>
            </a:p>
          </xdr:txBody>
        </xdr:sp>
      </mc:Fallback>
    </mc:AlternateContent>
    <xdr:clientData/>
  </xdr:oneCellAnchor>
  <xdr:oneCellAnchor>
    <xdr:from>
      <xdr:col>9</xdr:col>
      <xdr:colOff>38100</xdr:colOff>
      <xdr:row>1</xdr:row>
      <xdr:rowOff>171450</xdr:rowOff>
    </xdr:from>
    <xdr:ext cx="208134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117B7093-E657-45FD-ABD7-7B1EEF68A821}"/>
                </a:ext>
              </a:extLst>
            </xdr:cNvPr>
            <xdr:cNvSpPr txBox="1"/>
          </xdr:nvSpPr>
          <xdr:spPr>
            <a:xfrm>
              <a:off x="10706100" y="361950"/>
              <a:ext cx="20813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400"/>
            </a:p>
          </xdr:txBody>
        </xdr:sp>
      </mc:Choice>
      <mc:Fallback xmlns="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117B7093-E657-45FD-ABD7-7B1EEF68A821}"/>
                </a:ext>
              </a:extLst>
            </xdr:cNvPr>
            <xdr:cNvSpPr txBox="1"/>
          </xdr:nvSpPr>
          <xdr:spPr>
            <a:xfrm>
              <a:off x="10706100" y="361950"/>
              <a:ext cx="20813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0" i="0">
                  <a:latin typeface="Cambria Math" panose="02040503050406030204" pitchFamily="18" charset="0"/>
                </a:rPr>
                <a:t>𝑁_𝑖</a:t>
              </a:r>
              <a:endParaRPr lang="fr-FR" sz="1400"/>
            </a:p>
          </xdr:txBody>
        </xdr:sp>
      </mc:Fallback>
    </mc:AlternateContent>
    <xdr:clientData/>
  </xdr:oneCellAnchor>
  <xdr:oneCellAnchor>
    <xdr:from>
      <xdr:col>10</xdr:col>
      <xdr:colOff>38100</xdr:colOff>
      <xdr:row>3</xdr:row>
      <xdr:rowOff>185737</xdr:rowOff>
    </xdr:from>
    <xdr:ext cx="752898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5E2DEDA8-E1D9-F4D0-41A0-82D93466FAC4}"/>
                </a:ext>
              </a:extLst>
            </xdr:cNvPr>
            <xdr:cNvSpPr txBox="1"/>
          </xdr:nvSpPr>
          <xdr:spPr>
            <a:xfrm>
              <a:off x="11468100" y="757237"/>
              <a:ext cx="752898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𝑛</m:t>
                        </m:r>
                      </m:e>
                      <m:sub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fr-FR" sz="1400" b="0" i="1">
                        <a:latin typeface="Cambria Math" panose="02040503050406030204" pitchFamily="18" charset="0"/>
                      </a:rPr>
                      <m:t> /é</m:t>
                    </m:r>
                    <m:r>
                      <a:rPr lang="fr-FR" sz="1400" b="0" i="1">
                        <a:latin typeface="Cambria Math" panose="02040503050406030204" pitchFamily="18" charset="0"/>
                      </a:rPr>
                      <m:t>𝑐𝑎𝑟𝑡</m:t>
                    </m:r>
                  </m:oMath>
                </m:oMathPara>
              </a14:m>
              <a:endParaRPr lang="fr-FR" sz="1400"/>
            </a:p>
          </xdr:txBody>
        </xdr:sp>
      </mc:Choice>
      <mc:Fallback xmlns="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5E2DEDA8-E1D9-F4D0-41A0-82D93466FAC4}"/>
                </a:ext>
              </a:extLst>
            </xdr:cNvPr>
            <xdr:cNvSpPr txBox="1"/>
          </xdr:nvSpPr>
          <xdr:spPr>
            <a:xfrm>
              <a:off x="11468100" y="757237"/>
              <a:ext cx="752898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0" i="0">
                  <a:latin typeface="Cambria Math" panose="02040503050406030204" pitchFamily="18" charset="0"/>
                </a:rPr>
                <a:t>𝑛_𝑖  /é𝑐𝑎𝑟𝑡</a:t>
              </a:r>
              <a:endParaRPr lang="fr-FR" sz="1400"/>
            </a:p>
          </xdr:txBody>
        </xdr:sp>
      </mc:Fallback>
    </mc:AlternateContent>
    <xdr:clientData/>
  </xdr:oneCellAnchor>
  <xdr:oneCellAnchor>
    <xdr:from>
      <xdr:col>6</xdr:col>
      <xdr:colOff>33412</xdr:colOff>
      <xdr:row>10</xdr:row>
      <xdr:rowOff>171119</xdr:rowOff>
    </xdr:from>
    <xdr:ext cx="3358403" cy="4079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3939FC8F-B077-BBAF-062D-0D8A02D63D52}"/>
                </a:ext>
              </a:extLst>
            </xdr:cNvPr>
            <xdr:cNvSpPr txBox="1"/>
          </xdr:nvSpPr>
          <xdr:spPr>
            <a:xfrm>
              <a:off x="4605412" y="2405164"/>
              <a:ext cx="3358403" cy="407932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fr-FR" sz="18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8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8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800" b="0" i="1">
                      <a:latin typeface="Cambria Math" panose="02040503050406030204" pitchFamily="18" charset="0"/>
                    </a:rPr>
                    <m:t>+</m:t>
                  </m:r>
                  <m:f>
                    <m:fPr>
                      <m:ctrlPr>
                        <a:rPr lang="fr-FR" sz="18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8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𝑎</m:t>
                          </m:r>
                        </m:e>
                        <m:sub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𝑖</m:t>
                          </m:r>
                        </m:sub>
                      </m:sSub>
                      <m:r>
                        <a:rPr lang="fr-FR" sz="18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8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𝑎</m:t>
                          </m:r>
                        </m:e>
                        <m:sub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𝑖</m:t>
                          </m:r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−1</m:t>
                          </m:r>
                        </m:sub>
                      </m:sSub>
                    </m:num>
                    <m:den>
                      <m:d>
                        <m:dPr>
                          <m:ctrlPr>
                            <a:rPr lang="fr-FR" sz="18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fr-FR" sz="18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𝑎</m:t>
                              </m:r>
                            </m:e>
                            <m:sub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−</m:t>
                          </m:r>
                          <m:sSub>
                            <m:sSubPr>
                              <m:ctrlPr>
                                <a:rPr lang="fr-FR" sz="18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𝑎</m:t>
                              </m:r>
                            </m:e>
                            <m:sub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𝑖</m:t>
                              </m:r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−1</m:t>
                              </m:r>
                            </m:sub>
                          </m:sSub>
                        </m:e>
                      </m:d>
                      <m:d>
                        <m:dPr>
                          <m:ctrlPr>
                            <a:rPr lang="fr-FR" sz="18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fr-FR" sz="18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𝑎</m:t>
                              </m:r>
                            </m:e>
                            <m:sub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−</m:t>
                          </m:r>
                          <m:sSub>
                            <m:sSubPr>
                              <m:ctrlPr>
                                <a:rPr lang="fr-FR" sz="18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𝑎</m:t>
                              </m:r>
                            </m:e>
                            <m:sub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𝑖</m:t>
                              </m:r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+1</m:t>
                              </m:r>
                            </m:sub>
                          </m:sSub>
                        </m:e>
                      </m:d>
                    </m:den>
                  </m:f>
                </m:oMath>
              </a14:m>
              <a:r>
                <a:rPr lang="fr-FR" sz="1800"/>
                <a:t>*</a:t>
              </a:r>
              <a14:m>
                <m:oMath xmlns:m="http://schemas.openxmlformats.org/officeDocument/2006/math">
                  <m:d>
                    <m:dPr>
                      <m:ctrlPr>
                        <a:rPr lang="fr-FR" sz="1800" i="1">
                          <a:latin typeface="Cambria Math" panose="02040503050406030204" pitchFamily="18" charset="0"/>
                        </a:rPr>
                      </m:ctrlPr>
                    </m:dPr>
                    <m:e>
                      <m:sSub>
                        <m:sSubPr>
                          <m:ctrlPr>
                            <a:rPr lang="fr-FR" sz="18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8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8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e>
                  </m:d>
                </m:oMath>
              </a14:m>
              <a:endParaRPr lang="fr-FR" sz="1800"/>
            </a:p>
          </xdr:txBody>
        </xdr:sp>
      </mc:Choice>
      <mc:Fallback xmlns="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3939FC8F-B077-BBAF-062D-0D8A02D63D52}"/>
                </a:ext>
              </a:extLst>
            </xdr:cNvPr>
            <xdr:cNvSpPr txBox="1"/>
          </xdr:nvSpPr>
          <xdr:spPr>
            <a:xfrm>
              <a:off x="4605412" y="2405164"/>
              <a:ext cx="3358403" cy="407932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800" b="0" i="0">
                  <a:latin typeface="Cambria Math" panose="02040503050406030204" pitchFamily="18" charset="0"/>
                </a:rPr>
                <a:t>𝑥_1+(𝑎_𝑖−𝑎_(𝑖−1))/(𝑎_𝑖−𝑎_(𝑖−1) )(𝑎_𝑖−𝑎_(𝑖+1) ) </a:t>
              </a:r>
              <a:r>
                <a:rPr lang="fr-FR" sz="1800"/>
                <a:t>*</a:t>
              </a:r>
              <a:r>
                <a:rPr lang="fr-FR" sz="1800" i="0">
                  <a:latin typeface="Cambria Math" panose="02040503050406030204" pitchFamily="18" charset="0"/>
                </a:rPr>
                <a:t>(</a:t>
              </a:r>
              <a:r>
                <a:rPr lang="fr-FR" sz="1800" b="0" i="0">
                  <a:latin typeface="Cambria Math" panose="02040503050406030204" pitchFamily="18" charset="0"/>
                </a:rPr>
                <a:t>𝑥_2−𝑥_1 )</a:t>
              </a:r>
              <a:endParaRPr lang="fr-FR" sz="18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444500</xdr:colOff>
      <xdr:row>2</xdr:row>
      <xdr:rowOff>19050</xdr:rowOff>
    </xdr:from>
    <xdr:ext cx="233228" cy="1753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E1035915-AF3B-B48C-45F6-6D8E77D2A7BE}"/>
                </a:ext>
              </a:extLst>
            </xdr:cNvPr>
            <xdr:cNvSpPr txBox="1"/>
          </xdr:nvSpPr>
          <xdr:spPr>
            <a:xfrm>
              <a:off x="1968500" y="400050"/>
              <a:ext cx="233228" cy="175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E1035915-AF3B-B48C-45F6-6D8E77D2A7BE}"/>
                </a:ext>
              </a:extLst>
            </xdr:cNvPr>
            <xdr:cNvSpPr txBox="1"/>
          </xdr:nvSpPr>
          <xdr:spPr>
            <a:xfrm>
              <a:off x="1968500" y="400050"/>
              <a:ext cx="233228" cy="175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𝑁_𝑖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0</xdr:col>
      <xdr:colOff>666750</xdr:colOff>
      <xdr:row>2</xdr:row>
      <xdr:rowOff>12700</xdr:rowOff>
    </xdr:from>
    <xdr:ext cx="239131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E9D9A7AE-1C22-350A-F0D4-D7C785169C05}"/>
                </a:ext>
              </a:extLst>
            </xdr:cNvPr>
            <xdr:cNvSpPr txBox="1"/>
          </xdr:nvSpPr>
          <xdr:spPr>
            <a:xfrm>
              <a:off x="666750" y="393700"/>
              <a:ext cx="239131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E9D9A7AE-1C22-350A-F0D4-D7C785169C05}"/>
                </a:ext>
              </a:extLst>
            </xdr:cNvPr>
            <xdr:cNvSpPr txBox="1"/>
          </xdr:nvSpPr>
          <xdr:spPr>
            <a:xfrm>
              <a:off x="666750" y="393700"/>
              <a:ext cx="239131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𝑋_𝑖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2</xdr:row>
      <xdr:rowOff>76200</xdr:rowOff>
    </xdr:from>
    <xdr:ext cx="373949" cy="4099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9FA77182-26BE-FE46-C765-B10F3AA45632}"/>
                </a:ext>
              </a:extLst>
            </xdr:cNvPr>
            <xdr:cNvSpPr txBox="1"/>
          </xdr:nvSpPr>
          <xdr:spPr>
            <a:xfrm>
              <a:off x="11106150" y="457200"/>
              <a:ext cx="373949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bHide m:val="on"/>
                        <m:supHide m:val="on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sSub>
                          <m:sSub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𝑁</m:t>
                            </m:r>
                          </m:e>
                          <m: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9FA77182-26BE-FE46-C765-B10F3AA45632}"/>
                </a:ext>
              </a:extLst>
            </xdr:cNvPr>
            <xdr:cNvSpPr txBox="1"/>
          </xdr:nvSpPr>
          <xdr:spPr>
            <a:xfrm>
              <a:off x="11106150" y="457200"/>
              <a:ext cx="373949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∑▒</a:t>
              </a:r>
              <a:r>
                <a:rPr lang="fr-FR" sz="1100" b="0" i="0">
                  <a:latin typeface="Cambria Math" panose="02040503050406030204" pitchFamily="18" charset="0"/>
                </a:rPr>
                <a:t>𝑁_𝑖 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8</xdr:col>
      <xdr:colOff>190500</xdr:colOff>
      <xdr:row>2</xdr:row>
      <xdr:rowOff>9524</xdr:rowOff>
    </xdr:from>
    <xdr:ext cx="29378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97BFD5E8-4D1B-0B25-C5AE-551CAD5BAB00}"/>
                </a:ext>
              </a:extLst>
            </xdr:cNvPr>
            <xdr:cNvSpPr txBox="1"/>
          </xdr:nvSpPr>
          <xdr:spPr>
            <a:xfrm>
              <a:off x="6600825" y="390524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97BFD5E8-4D1B-0B25-C5AE-551CAD5BAB00}"/>
                </a:ext>
              </a:extLst>
            </xdr:cNvPr>
            <xdr:cNvSpPr txBox="1"/>
          </xdr:nvSpPr>
          <xdr:spPr>
            <a:xfrm>
              <a:off x="6600825" y="390524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9</xdr:col>
      <xdr:colOff>196850</xdr:colOff>
      <xdr:row>2</xdr:row>
      <xdr:rowOff>6350</xdr:rowOff>
    </xdr:from>
    <xdr:ext cx="43180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77921D2E-6FE0-19DA-0145-3278E1D95E94}"/>
                </a:ext>
              </a:extLst>
            </xdr:cNvPr>
            <xdr:cNvSpPr txBox="1"/>
          </xdr:nvSpPr>
          <xdr:spPr>
            <a:xfrm>
              <a:off x="7372350" y="387350"/>
              <a:ext cx="4318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𝑁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* 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𝐶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77921D2E-6FE0-19DA-0145-3278E1D95E94}"/>
                </a:ext>
              </a:extLst>
            </xdr:cNvPr>
            <xdr:cNvSpPr txBox="1"/>
          </xdr:nvSpPr>
          <xdr:spPr>
            <a:xfrm>
              <a:off x="7372350" y="387350"/>
              <a:ext cx="4318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𝑁_𝑖</a:t>
              </a:r>
              <a:r>
                <a:rPr lang="fr-FR" sz="1100"/>
                <a:t>* </a:t>
              </a:r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10</xdr:col>
      <xdr:colOff>273050</xdr:colOff>
      <xdr:row>2</xdr:row>
      <xdr:rowOff>12700</xdr:rowOff>
    </xdr:from>
    <xdr:ext cx="349250" cy="1769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7261A777-43C3-00A8-05A7-D8C96E99FBA7}"/>
                </a:ext>
              </a:extLst>
            </xdr:cNvPr>
            <xdr:cNvSpPr txBox="1"/>
          </xdr:nvSpPr>
          <xdr:spPr>
            <a:xfrm>
              <a:off x="8210550" y="393700"/>
              <a:ext cx="349250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𝐶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-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</m:acc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7261A777-43C3-00A8-05A7-D8C96E99FBA7}"/>
                </a:ext>
              </a:extLst>
            </xdr:cNvPr>
            <xdr:cNvSpPr txBox="1"/>
          </xdr:nvSpPr>
          <xdr:spPr>
            <a:xfrm>
              <a:off x="8210550" y="393700"/>
              <a:ext cx="349250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r>
                <a:rPr lang="fr-FR" sz="1100"/>
                <a:t>-</a:t>
              </a:r>
              <a:r>
                <a:rPr lang="fr-FR" sz="1100" b="0" i="0">
                  <a:latin typeface="Cambria Math" panose="02040503050406030204" pitchFamily="18" charset="0"/>
                </a:rPr>
                <a:t>𝑋 ̅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11</xdr:col>
      <xdr:colOff>95250</xdr:colOff>
      <xdr:row>2</xdr:row>
      <xdr:rowOff>6350</xdr:rowOff>
    </xdr:from>
    <xdr:ext cx="592790" cy="1772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FEE4ECB3-AF72-4D02-162E-FF1A5AD99F45}"/>
                </a:ext>
              </a:extLst>
            </xdr:cNvPr>
            <xdr:cNvSpPr txBox="1"/>
          </xdr:nvSpPr>
          <xdr:spPr>
            <a:xfrm>
              <a:off x="8794750" y="387350"/>
              <a:ext cx="59279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̅"/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e>
                            </m:acc>
                          </m:e>
                        </m:d>
                      </m:e>
                      <m:sup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FEE4ECB3-AF72-4D02-162E-FF1A5AD99F45}"/>
                </a:ext>
              </a:extLst>
            </xdr:cNvPr>
            <xdr:cNvSpPr txBox="1"/>
          </xdr:nvSpPr>
          <xdr:spPr>
            <a:xfrm>
              <a:off x="8794750" y="387350"/>
              <a:ext cx="59279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𝐶_𝑖−𝑋 ̅ )^2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12</xdr:col>
      <xdr:colOff>31750</xdr:colOff>
      <xdr:row>2</xdr:row>
      <xdr:rowOff>6350</xdr:rowOff>
    </xdr:from>
    <xdr:ext cx="825500" cy="1772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85C930C0-CD09-4507-9983-F04CB71E6051}"/>
                </a:ext>
              </a:extLst>
            </xdr:cNvPr>
            <xdr:cNvSpPr txBox="1"/>
          </xdr:nvSpPr>
          <xdr:spPr>
            <a:xfrm>
              <a:off x="9493250" y="387350"/>
              <a:ext cx="82550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d>
                        <m:d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fr-FR" sz="110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fr-FR" sz="1100" b="0" i="1">
                                  <a:latin typeface="Cambria Math" panose="02040503050406030204" pitchFamily="18" charset="0"/>
                                </a:rPr>
                                <m:t>𝐶</m:t>
                              </m:r>
                            </m:e>
                            <m:sub>
                              <m:r>
                                <a:rPr lang="fr-FR" sz="1100" b="0" i="1">
                                  <a:latin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−</m:t>
                          </m:r>
                          <m:acc>
                            <m:accPr>
                              <m:chr m:val="̅"/>
                              <m:ctrlPr>
                                <a:rPr lang="fr-FR" sz="1100" b="0" i="1">
                                  <a:latin typeface="Cambria Math" panose="02040503050406030204" pitchFamily="18" charset="0"/>
                                </a:rPr>
                              </m:ctrlPr>
                            </m:accPr>
                            <m:e>
                              <m:r>
                                <a:rPr lang="fr-FR" sz="1100" b="0" i="1">
                                  <a:latin typeface="Cambria Math" panose="02040503050406030204" pitchFamily="18" charset="0"/>
                                </a:rPr>
                                <m:t>𝑋</m:t>
                              </m:r>
                            </m:e>
                          </m:acc>
                        </m:e>
                      </m:d>
                    </m:e>
                    <m:sup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</m:oMath>
              </a14:m>
              <a:r>
                <a:rPr lang="fr-FR" sz="1100"/>
                <a:t>*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𝑁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85C930C0-CD09-4507-9983-F04CB71E6051}"/>
                </a:ext>
              </a:extLst>
            </xdr:cNvPr>
            <xdr:cNvSpPr txBox="1"/>
          </xdr:nvSpPr>
          <xdr:spPr>
            <a:xfrm>
              <a:off x="9493250" y="387350"/>
              <a:ext cx="82550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𝐶_𝑖−𝑋 ̅ )^2</a:t>
              </a:r>
              <a:r>
                <a:rPr lang="fr-FR" sz="1100"/>
                <a:t>*</a:t>
              </a:r>
              <a:r>
                <a:rPr lang="fr-FR" sz="1100" b="0" i="0">
                  <a:latin typeface="Cambria Math" panose="02040503050406030204" pitchFamily="18" charset="0"/>
                </a:rPr>
                <a:t>𝑁_𝑖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5</xdr:col>
      <xdr:colOff>209550</xdr:colOff>
      <xdr:row>2</xdr:row>
      <xdr:rowOff>28574</xdr:rowOff>
    </xdr:from>
    <xdr:ext cx="25400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87171541-BA18-2276-9745-B2AAC6D71A29}"/>
                </a:ext>
              </a:extLst>
            </xdr:cNvPr>
            <xdr:cNvSpPr txBox="1"/>
          </xdr:nvSpPr>
          <xdr:spPr>
            <a:xfrm>
              <a:off x="4333875" y="409574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87171541-BA18-2276-9745-B2AAC6D71A29}"/>
                </a:ext>
              </a:extLst>
            </xdr:cNvPr>
            <xdr:cNvSpPr txBox="1"/>
          </xdr:nvSpPr>
          <xdr:spPr>
            <a:xfrm>
              <a:off x="4333875" y="409574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6</xdr:col>
      <xdr:colOff>260350</xdr:colOff>
      <xdr:row>2</xdr:row>
      <xdr:rowOff>19050</xdr:rowOff>
    </xdr:from>
    <xdr:ext cx="28713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79068A16-18F4-FEBF-734B-FD4894365C42}"/>
                </a:ext>
              </a:extLst>
            </xdr:cNvPr>
            <xdr:cNvSpPr txBox="1"/>
          </xdr:nvSpPr>
          <xdr:spPr>
            <a:xfrm>
              <a:off x="5149850" y="40005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79068A16-18F4-FEBF-734B-FD4894365C42}"/>
                </a:ext>
              </a:extLst>
            </xdr:cNvPr>
            <xdr:cNvSpPr txBox="1"/>
          </xdr:nvSpPr>
          <xdr:spPr>
            <a:xfrm>
              <a:off x="5149850" y="40005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7</xdr:col>
      <xdr:colOff>292100</xdr:colOff>
      <xdr:row>2</xdr:row>
      <xdr:rowOff>12700</xdr:rowOff>
    </xdr:from>
    <xdr:ext cx="300595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F5B3E41A-3129-73A5-A2FC-C6DB343756C6}"/>
                </a:ext>
              </a:extLst>
            </xdr:cNvPr>
            <xdr:cNvSpPr txBox="1"/>
          </xdr:nvSpPr>
          <xdr:spPr>
            <a:xfrm>
              <a:off x="5943600" y="3937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𝐹𝐷𝐶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F5B3E41A-3129-73A5-A2FC-C6DB343756C6}"/>
                </a:ext>
              </a:extLst>
            </xdr:cNvPr>
            <xdr:cNvSpPr txBox="1"/>
          </xdr:nvSpPr>
          <xdr:spPr>
            <a:xfrm>
              <a:off x="5943600" y="3937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𝐹𝐷𝐶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3</xdr:col>
      <xdr:colOff>234950</xdr:colOff>
      <xdr:row>2</xdr:row>
      <xdr:rowOff>25400</xdr:rowOff>
    </xdr:from>
    <xdr:ext cx="28905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ZoneTexte 12">
              <a:extLst>
                <a:ext uri="{FF2B5EF4-FFF2-40B4-BE49-F238E27FC236}">
                  <a16:creationId xmlns:a16="http://schemas.microsoft.com/office/drawing/2014/main" id="{A53A12AA-B9C1-42C2-8D3B-1D25F227209E}"/>
                </a:ext>
              </a:extLst>
            </xdr:cNvPr>
            <xdr:cNvSpPr txBox="1"/>
          </xdr:nvSpPr>
          <xdr:spPr>
            <a:xfrm>
              <a:off x="2838450" y="4064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3" name="ZoneTexte 12">
              <a:extLst>
                <a:ext uri="{FF2B5EF4-FFF2-40B4-BE49-F238E27FC236}">
                  <a16:creationId xmlns:a16="http://schemas.microsoft.com/office/drawing/2014/main" id="{A53A12AA-B9C1-42C2-8D3B-1D25F227209E}"/>
                </a:ext>
              </a:extLst>
            </xdr:cNvPr>
            <xdr:cNvSpPr txBox="1"/>
          </xdr:nvSpPr>
          <xdr:spPr>
            <a:xfrm>
              <a:off x="2838450" y="4064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𝐸𝐶𝐶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4</xdr:col>
      <xdr:colOff>222250</xdr:colOff>
      <xdr:row>2</xdr:row>
      <xdr:rowOff>19050</xdr:rowOff>
    </xdr:from>
    <xdr:ext cx="30040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ZoneTexte 13">
              <a:extLst>
                <a:ext uri="{FF2B5EF4-FFF2-40B4-BE49-F238E27FC236}">
                  <a16:creationId xmlns:a16="http://schemas.microsoft.com/office/drawing/2014/main" id="{42E8199D-AF7B-7BA8-1D11-3829466297A6}"/>
                </a:ext>
              </a:extLst>
            </xdr:cNvPr>
            <xdr:cNvSpPr txBox="1"/>
          </xdr:nvSpPr>
          <xdr:spPr>
            <a:xfrm>
              <a:off x="3587750" y="40005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𝐸𝐶𝐷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4" name="ZoneTexte 13">
              <a:extLst>
                <a:ext uri="{FF2B5EF4-FFF2-40B4-BE49-F238E27FC236}">
                  <a16:creationId xmlns:a16="http://schemas.microsoft.com/office/drawing/2014/main" id="{42E8199D-AF7B-7BA8-1D11-3829466297A6}"/>
                </a:ext>
              </a:extLst>
            </xdr:cNvPr>
            <xdr:cNvSpPr txBox="1"/>
          </xdr:nvSpPr>
          <xdr:spPr>
            <a:xfrm>
              <a:off x="3587750" y="40005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𝐸𝐶𝐷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28575</xdr:colOff>
      <xdr:row>7</xdr:row>
      <xdr:rowOff>23812</xdr:rowOff>
    </xdr:from>
    <xdr:ext cx="50061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F88EB818-B2F8-642C-DF06-06EF1A5D6A9A}"/>
                </a:ext>
              </a:extLst>
            </xdr:cNvPr>
            <xdr:cNvSpPr txBox="1"/>
          </xdr:nvSpPr>
          <xdr:spPr>
            <a:xfrm>
              <a:off x="11134725" y="1357312"/>
              <a:ext cx="5006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nary>
                    <m:naryPr>
                      <m:chr m:val="∑"/>
                      <m:subHide m:val="on"/>
                      <m:supHide m:val="on"/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naryPr>
                    <m:sub/>
                    <m:sup/>
                    <m:e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𝑖</m:t>
                          </m:r>
                        </m:sub>
                      </m:sSub>
                    </m:e>
                  </m:nary>
                </m:oMath>
              </a14:m>
              <a:r>
                <a:rPr lang="fr-FR" sz="1100"/>
                <a:t>*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𝐶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F88EB818-B2F8-642C-DF06-06EF1A5D6A9A}"/>
                </a:ext>
              </a:extLst>
            </xdr:cNvPr>
            <xdr:cNvSpPr txBox="1"/>
          </xdr:nvSpPr>
          <xdr:spPr>
            <a:xfrm>
              <a:off x="11134725" y="1357312"/>
              <a:ext cx="5006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∑▒</a:t>
              </a:r>
              <a:r>
                <a:rPr lang="fr-FR" sz="1100" b="0" i="0">
                  <a:latin typeface="Cambria Math" panose="02040503050406030204" pitchFamily="18" charset="0"/>
                </a:rPr>
                <a:t>𝑁_𝑖 </a:t>
              </a:r>
              <a:r>
                <a:rPr lang="fr-FR" sz="1100"/>
                <a:t>*</a:t>
              </a:r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3</xdr:row>
      <xdr:rowOff>0</xdr:rowOff>
    </xdr:from>
    <xdr:ext cx="28905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AEC4672D-8C73-4283-B798-0A16180409B0}"/>
                </a:ext>
              </a:extLst>
            </xdr:cNvPr>
            <xdr:cNvSpPr txBox="1"/>
          </xdr:nvSpPr>
          <xdr:spPr>
            <a:xfrm>
              <a:off x="14154150" y="5715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AEC4672D-8C73-4283-B798-0A16180409B0}"/>
                </a:ext>
              </a:extLst>
            </xdr:cNvPr>
            <xdr:cNvSpPr txBox="1"/>
          </xdr:nvSpPr>
          <xdr:spPr>
            <a:xfrm>
              <a:off x="14154150" y="5715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𝐸𝐶𝐶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4</xdr:row>
      <xdr:rowOff>0</xdr:rowOff>
    </xdr:from>
    <xdr:ext cx="30040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ZoneTexte 22">
              <a:extLst>
                <a:ext uri="{FF2B5EF4-FFF2-40B4-BE49-F238E27FC236}">
                  <a16:creationId xmlns:a16="http://schemas.microsoft.com/office/drawing/2014/main" id="{F1A9B147-57B3-43BF-AC8A-CE7C1F547BE4}"/>
                </a:ext>
              </a:extLst>
            </xdr:cNvPr>
            <xdr:cNvSpPr txBox="1"/>
          </xdr:nvSpPr>
          <xdr:spPr>
            <a:xfrm>
              <a:off x="14154150" y="76200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𝐸𝐶𝐷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3" name="ZoneTexte 22">
              <a:extLst>
                <a:ext uri="{FF2B5EF4-FFF2-40B4-BE49-F238E27FC236}">
                  <a16:creationId xmlns:a16="http://schemas.microsoft.com/office/drawing/2014/main" id="{F1A9B147-57B3-43BF-AC8A-CE7C1F547BE4}"/>
                </a:ext>
              </a:extLst>
            </xdr:cNvPr>
            <xdr:cNvSpPr txBox="1"/>
          </xdr:nvSpPr>
          <xdr:spPr>
            <a:xfrm>
              <a:off x="14154150" y="76200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𝐸𝐶𝐷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5</xdr:row>
      <xdr:rowOff>0</xdr:rowOff>
    </xdr:from>
    <xdr:ext cx="25400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ZoneTexte 23">
              <a:extLst>
                <a:ext uri="{FF2B5EF4-FFF2-40B4-BE49-F238E27FC236}">
                  <a16:creationId xmlns:a16="http://schemas.microsoft.com/office/drawing/2014/main" id="{949B91AE-CB3F-4763-9F59-79528F832BCA}"/>
                </a:ext>
              </a:extLst>
            </xdr:cNvPr>
            <xdr:cNvSpPr txBox="1"/>
          </xdr:nvSpPr>
          <xdr:spPr>
            <a:xfrm>
              <a:off x="14154150" y="952500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4" name="ZoneTexte 23">
              <a:extLst>
                <a:ext uri="{FF2B5EF4-FFF2-40B4-BE49-F238E27FC236}">
                  <a16:creationId xmlns:a16="http://schemas.microsoft.com/office/drawing/2014/main" id="{949B91AE-CB3F-4763-9F59-79528F832BCA}"/>
                </a:ext>
              </a:extLst>
            </xdr:cNvPr>
            <xdr:cNvSpPr txBox="1"/>
          </xdr:nvSpPr>
          <xdr:spPr>
            <a:xfrm>
              <a:off x="14154150" y="952500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6</xdr:row>
      <xdr:rowOff>0</xdr:rowOff>
    </xdr:from>
    <xdr:ext cx="28713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5DC5A3AE-37CB-46B4-8BE9-4618D7ECDEB4}"/>
                </a:ext>
              </a:extLst>
            </xdr:cNvPr>
            <xdr:cNvSpPr txBox="1"/>
          </xdr:nvSpPr>
          <xdr:spPr>
            <a:xfrm>
              <a:off x="14154150" y="114300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5DC5A3AE-37CB-46B4-8BE9-4618D7ECDEB4}"/>
                </a:ext>
              </a:extLst>
            </xdr:cNvPr>
            <xdr:cNvSpPr txBox="1"/>
          </xdr:nvSpPr>
          <xdr:spPr>
            <a:xfrm>
              <a:off x="14154150" y="114300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7</xdr:row>
      <xdr:rowOff>0</xdr:rowOff>
    </xdr:from>
    <xdr:ext cx="300595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ZoneTexte 25">
              <a:extLst>
                <a:ext uri="{FF2B5EF4-FFF2-40B4-BE49-F238E27FC236}">
                  <a16:creationId xmlns:a16="http://schemas.microsoft.com/office/drawing/2014/main" id="{B6EFE97E-3F0A-458F-AB9B-801A53B0A4AB}"/>
                </a:ext>
              </a:extLst>
            </xdr:cNvPr>
            <xdr:cNvSpPr txBox="1"/>
          </xdr:nvSpPr>
          <xdr:spPr>
            <a:xfrm>
              <a:off x="14154150" y="13335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𝐹𝐷𝐶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6" name="ZoneTexte 25">
              <a:extLst>
                <a:ext uri="{FF2B5EF4-FFF2-40B4-BE49-F238E27FC236}">
                  <a16:creationId xmlns:a16="http://schemas.microsoft.com/office/drawing/2014/main" id="{B6EFE97E-3F0A-458F-AB9B-801A53B0A4AB}"/>
                </a:ext>
              </a:extLst>
            </xdr:cNvPr>
            <xdr:cNvSpPr txBox="1"/>
          </xdr:nvSpPr>
          <xdr:spPr>
            <a:xfrm>
              <a:off x="14154150" y="13335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𝐹𝐷𝐶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8</xdr:row>
      <xdr:rowOff>0</xdr:rowOff>
    </xdr:from>
    <xdr:ext cx="29378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F463441C-2EDE-43DD-8706-7E73DB0EA790}"/>
                </a:ext>
              </a:extLst>
            </xdr:cNvPr>
            <xdr:cNvSpPr txBox="1"/>
          </xdr:nvSpPr>
          <xdr:spPr>
            <a:xfrm>
              <a:off x="14154150" y="1524000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F463441C-2EDE-43DD-8706-7E73DB0EA790}"/>
                </a:ext>
              </a:extLst>
            </xdr:cNvPr>
            <xdr:cNvSpPr txBox="1"/>
          </xdr:nvSpPr>
          <xdr:spPr>
            <a:xfrm>
              <a:off x="14154150" y="1524000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20411</xdr:colOff>
      <xdr:row>4</xdr:row>
      <xdr:rowOff>112259</xdr:rowOff>
    </xdr:from>
    <xdr:ext cx="530677" cy="3261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ZoneTexte 30">
              <a:extLst>
                <a:ext uri="{FF2B5EF4-FFF2-40B4-BE49-F238E27FC236}">
                  <a16:creationId xmlns:a16="http://schemas.microsoft.com/office/drawing/2014/main" id="{B8E555E6-41E2-56ED-5542-275009885091}"/>
                </a:ext>
              </a:extLst>
            </xdr:cNvPr>
            <xdr:cNvSpPr txBox="1"/>
          </xdr:nvSpPr>
          <xdr:spPr>
            <a:xfrm>
              <a:off x="11123840" y="874259"/>
              <a:ext cx="530677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num>
                      <m:den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1" name="ZoneTexte 30">
              <a:extLst>
                <a:ext uri="{FF2B5EF4-FFF2-40B4-BE49-F238E27FC236}">
                  <a16:creationId xmlns:a16="http://schemas.microsoft.com/office/drawing/2014/main" id="{B8E555E6-41E2-56ED-5542-275009885091}"/>
                </a:ext>
              </a:extLst>
            </xdr:cNvPr>
            <xdr:cNvSpPr txBox="1"/>
          </xdr:nvSpPr>
          <xdr:spPr>
            <a:xfrm>
              <a:off x="11123840" y="874259"/>
              <a:ext cx="530677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𝑅=</a:t>
              </a:r>
              <a:r>
                <a:rPr lang="fr-FR" sz="1100" i="0">
                  <a:latin typeface="Cambria Math" panose="02040503050406030204" pitchFamily="18" charset="0"/>
                </a:rPr>
                <a:t>(∑▒</a:t>
              </a:r>
              <a:r>
                <a:rPr lang="fr-FR" sz="1100" b="0" i="0">
                  <a:latin typeface="Cambria Math" panose="02040503050406030204" pitchFamily="18" charset="0"/>
                </a:rPr>
                <a:t>𝑛_𝑖 )/2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40822</xdr:colOff>
      <xdr:row>14</xdr:row>
      <xdr:rowOff>29255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ZoneTexte 32">
              <a:extLst>
                <a:ext uri="{FF2B5EF4-FFF2-40B4-BE49-F238E27FC236}">
                  <a16:creationId xmlns:a16="http://schemas.microsoft.com/office/drawing/2014/main" id="{1E6621AB-5CF9-1B8E-993C-56C3CBAC31B1}"/>
                </a:ext>
              </a:extLst>
            </xdr:cNvPr>
            <xdr:cNvSpPr txBox="1"/>
          </xdr:nvSpPr>
          <xdr:spPr>
            <a:xfrm>
              <a:off x="11144251" y="2315255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𝐸𝐶𝐶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𝑅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33" name="ZoneTexte 32">
              <a:extLst>
                <a:ext uri="{FF2B5EF4-FFF2-40B4-BE49-F238E27FC236}">
                  <a16:creationId xmlns:a16="http://schemas.microsoft.com/office/drawing/2014/main" id="{1E6621AB-5CF9-1B8E-993C-56C3CBAC31B1}"/>
                </a:ext>
              </a:extLst>
            </xdr:cNvPr>
            <xdr:cNvSpPr txBox="1"/>
          </xdr:nvSpPr>
          <xdr:spPr>
            <a:xfrm>
              <a:off x="11144251" y="2315255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𝐸𝐶𝐶, 𝑅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54428</xdr:colOff>
      <xdr:row>15</xdr:row>
      <xdr:rowOff>29255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ZoneTexte 34">
              <a:extLst>
                <a:ext uri="{FF2B5EF4-FFF2-40B4-BE49-F238E27FC236}">
                  <a16:creationId xmlns:a16="http://schemas.microsoft.com/office/drawing/2014/main" id="{2696A425-7F0D-2F9A-6253-EABD49EF7EE1}"/>
                </a:ext>
              </a:extLst>
            </xdr:cNvPr>
            <xdr:cNvSpPr txBox="1"/>
          </xdr:nvSpPr>
          <xdr:spPr>
            <a:xfrm>
              <a:off x="11157857" y="2505755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Dans 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R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35" name="ZoneTexte 34">
              <a:extLst>
                <a:ext uri="{FF2B5EF4-FFF2-40B4-BE49-F238E27FC236}">
                  <a16:creationId xmlns:a16="http://schemas.microsoft.com/office/drawing/2014/main" id="{2696A425-7F0D-2F9A-6253-EABD49EF7EE1}"/>
                </a:ext>
              </a:extLst>
            </xdr:cNvPr>
            <xdr:cNvSpPr txBox="1"/>
          </xdr:nvSpPr>
          <xdr:spPr>
            <a:xfrm>
              <a:off x="11157857" y="2505755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Dans </a:t>
              </a:r>
              <a:r>
                <a:rPr lang="fr-FR" sz="1100" b="0" i="0">
                  <a:latin typeface="Cambria Math" panose="02040503050406030204" pitchFamily="18" charset="0"/>
                </a:rPr>
                <a:t>𝑋_𝑖</a:t>
              </a:r>
              <a:r>
                <a:rPr lang="fr-FR" sz="1100"/>
                <a:t>, R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34018</xdr:colOff>
      <xdr:row>16</xdr:row>
      <xdr:rowOff>178933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ZoneTexte 35">
              <a:extLst>
                <a:ext uri="{FF2B5EF4-FFF2-40B4-BE49-F238E27FC236}">
                  <a16:creationId xmlns:a16="http://schemas.microsoft.com/office/drawing/2014/main" id="{0373444D-16E9-3C2B-3373-91F5EC203F97}"/>
                </a:ext>
              </a:extLst>
            </xdr:cNvPr>
            <xdr:cNvSpPr txBox="1"/>
          </xdr:nvSpPr>
          <xdr:spPr>
            <a:xfrm>
              <a:off x="11137447" y="2845933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𝑅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36" name="ZoneTexte 35">
              <a:extLst>
                <a:ext uri="{FF2B5EF4-FFF2-40B4-BE49-F238E27FC236}">
                  <a16:creationId xmlns:a16="http://schemas.microsoft.com/office/drawing/2014/main" id="{0373444D-16E9-3C2B-3373-91F5EC203F97}"/>
                </a:ext>
              </a:extLst>
            </xdr:cNvPr>
            <xdr:cNvSpPr txBox="1"/>
          </xdr:nvSpPr>
          <xdr:spPr>
            <a:xfrm>
              <a:off x="11137447" y="2845933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−𝑥_1)/(𝑅−𝑓𝑥_1 )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53067</xdr:colOff>
      <xdr:row>9</xdr:row>
      <xdr:rowOff>22451</xdr:rowOff>
    </xdr:from>
    <xdr:ext cx="149848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ZoneTexte 36">
              <a:extLst>
                <a:ext uri="{FF2B5EF4-FFF2-40B4-BE49-F238E27FC236}">
                  <a16:creationId xmlns:a16="http://schemas.microsoft.com/office/drawing/2014/main" id="{CAC280B2-8B04-B8D2-9547-AD554329718B}"/>
                </a:ext>
              </a:extLst>
            </xdr:cNvPr>
            <xdr:cNvSpPr txBox="1"/>
          </xdr:nvSpPr>
          <xdr:spPr>
            <a:xfrm>
              <a:off x="11156496" y="1736951"/>
              <a:ext cx="149848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7" name="ZoneTexte 36">
              <a:extLst>
                <a:ext uri="{FF2B5EF4-FFF2-40B4-BE49-F238E27FC236}">
                  <a16:creationId xmlns:a16="http://schemas.microsoft.com/office/drawing/2014/main" id="{CAC280B2-8B04-B8D2-9547-AD554329718B}"/>
                </a:ext>
              </a:extLst>
            </xdr:cNvPr>
            <xdr:cNvSpPr txBox="1"/>
          </xdr:nvSpPr>
          <xdr:spPr>
            <a:xfrm>
              <a:off x="11156496" y="1736951"/>
              <a:ext cx="149848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𝑀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34017</xdr:colOff>
      <xdr:row>20</xdr:row>
      <xdr:rowOff>27214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ZoneTexte 37">
              <a:extLst>
                <a:ext uri="{FF2B5EF4-FFF2-40B4-BE49-F238E27FC236}">
                  <a16:creationId xmlns:a16="http://schemas.microsoft.com/office/drawing/2014/main" id="{A120D060-D2F6-4BFF-98EC-A3D82776DCB2}"/>
                </a:ext>
              </a:extLst>
            </xdr:cNvPr>
            <xdr:cNvSpPr txBox="1"/>
          </xdr:nvSpPr>
          <xdr:spPr>
            <a:xfrm>
              <a:off x="11137446" y="34562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𝐹𝐶𝐶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𝑀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38" name="ZoneTexte 37">
              <a:extLst>
                <a:ext uri="{FF2B5EF4-FFF2-40B4-BE49-F238E27FC236}">
                  <a16:creationId xmlns:a16="http://schemas.microsoft.com/office/drawing/2014/main" id="{A120D060-D2F6-4BFF-98EC-A3D82776DCB2}"/>
                </a:ext>
              </a:extLst>
            </xdr:cNvPr>
            <xdr:cNvSpPr txBox="1"/>
          </xdr:nvSpPr>
          <xdr:spPr>
            <a:xfrm>
              <a:off x="11137446" y="34562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𝐹𝐶𝐶, 𝑀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40821</xdr:colOff>
      <xdr:row>21</xdr:row>
      <xdr:rowOff>20410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3F4F3CE1-5595-43E9-A478-F3D080B16BC0}"/>
                </a:ext>
              </a:extLst>
            </xdr:cNvPr>
            <xdr:cNvSpPr txBox="1"/>
          </xdr:nvSpPr>
          <xdr:spPr>
            <a:xfrm>
              <a:off x="11144250" y="36399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fr-FR" sz="1100" b="0" i="0">
                      <a:latin typeface="Cambria Math" panose="02040503050406030204" pitchFamily="18" charset="0"/>
                    </a:rPr>
                    <m:t>ans</m:t>
                  </m:r>
                  <m:r>
                    <a:rPr lang="fr-FR" sz="1100" b="0" i="0">
                      <a:latin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M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3F4F3CE1-5595-43E9-A478-F3D080B16BC0}"/>
                </a:ext>
              </a:extLst>
            </xdr:cNvPr>
            <xdr:cNvSpPr txBox="1"/>
          </xdr:nvSpPr>
          <xdr:spPr>
            <a:xfrm>
              <a:off x="11144250" y="36399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:r>
                <a:rPr lang="fr-FR" sz="1100" b="0" i="0">
                  <a:latin typeface="Cambria Math" panose="02040503050406030204" pitchFamily="18" charset="0"/>
                </a:rPr>
                <a:t>ans 𝑋_𝑖</a:t>
              </a:r>
              <a:r>
                <a:rPr lang="fr-FR" sz="1100"/>
                <a:t>, M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6803</xdr:colOff>
      <xdr:row>23</xdr:row>
      <xdr:rowOff>6804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ZoneTexte 39">
              <a:extLst>
                <a:ext uri="{FF2B5EF4-FFF2-40B4-BE49-F238E27FC236}">
                  <a16:creationId xmlns:a16="http://schemas.microsoft.com/office/drawing/2014/main" id="{A6C739B6-1C57-4A1B-8F83-D288B31DC87D}"/>
                </a:ext>
              </a:extLst>
            </xdr:cNvPr>
            <xdr:cNvSpPr txBox="1"/>
          </xdr:nvSpPr>
          <xdr:spPr>
            <a:xfrm>
              <a:off x="11110232" y="40073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𝑀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40" name="ZoneTexte 39">
              <a:extLst>
                <a:ext uri="{FF2B5EF4-FFF2-40B4-BE49-F238E27FC236}">
                  <a16:creationId xmlns:a16="http://schemas.microsoft.com/office/drawing/2014/main" id="{A6C739B6-1C57-4A1B-8F83-D288B31DC87D}"/>
                </a:ext>
              </a:extLst>
            </xdr:cNvPr>
            <xdr:cNvSpPr txBox="1"/>
          </xdr:nvSpPr>
          <xdr:spPr>
            <a:xfrm>
              <a:off x="11110232" y="40073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−𝑥_1)/(𝑀−𝑓𝑥_1 )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5442</xdr:colOff>
      <xdr:row>26</xdr:row>
      <xdr:rowOff>124505</xdr:rowOff>
    </xdr:from>
    <xdr:ext cx="830227" cy="3558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ZoneTexte 40">
              <a:extLst>
                <a:ext uri="{FF2B5EF4-FFF2-40B4-BE49-F238E27FC236}">
                  <a16:creationId xmlns:a16="http://schemas.microsoft.com/office/drawing/2014/main" id="{6131178F-3FD8-2A5A-8DFB-F0B6CC067091}"/>
                </a:ext>
              </a:extLst>
            </xdr:cNvPr>
            <xdr:cNvSpPr txBox="1"/>
          </xdr:nvSpPr>
          <xdr:spPr>
            <a:xfrm>
              <a:off x="11108871" y="4696505"/>
              <a:ext cx="830227" cy="355803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fr-FR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fr-F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num>
                      <m:den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1" name="ZoneTexte 40">
              <a:extLst>
                <a:ext uri="{FF2B5EF4-FFF2-40B4-BE49-F238E27FC236}">
                  <a16:creationId xmlns:a16="http://schemas.microsoft.com/office/drawing/2014/main" id="{6131178F-3FD8-2A5A-8DFB-F0B6CC067091}"/>
                </a:ext>
              </a:extLst>
            </xdr:cNvPr>
            <xdr:cNvSpPr txBox="1"/>
          </xdr:nvSpPr>
          <xdr:spPr>
            <a:xfrm>
              <a:off x="11108871" y="4696505"/>
              <a:ext cx="830227" cy="355803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𝑋 ̅=  (∑▒〖</a:t>
              </a:r>
              <a:r>
                <a:rPr lang="fr-F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𝑛_𝑖∗𝐶_𝑖</a:t>
              </a:r>
              <a:r>
                <a:rPr lang="fr-F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〗)/(∑▒</a:t>
              </a:r>
              <a:r>
                <a:rPr lang="fr-FR" sz="1100" b="0" i="0">
                  <a:latin typeface="Cambria Math" panose="02040503050406030204" pitchFamily="18" charset="0"/>
                </a:rPr>
                <a:t>𝑛_𝑖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13</xdr:col>
      <xdr:colOff>703386</xdr:colOff>
      <xdr:row>10</xdr:row>
      <xdr:rowOff>102577</xdr:rowOff>
    </xdr:from>
    <xdr:ext cx="1077056" cy="3439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ZoneTexte 41">
              <a:extLst>
                <a:ext uri="{FF2B5EF4-FFF2-40B4-BE49-F238E27FC236}">
                  <a16:creationId xmlns:a16="http://schemas.microsoft.com/office/drawing/2014/main" id="{C856E197-1EE1-E255-CD39-9AE512FEE73C}"/>
                </a:ext>
              </a:extLst>
            </xdr:cNvPr>
            <xdr:cNvSpPr txBox="1"/>
          </xdr:nvSpPr>
          <xdr:spPr>
            <a:xfrm>
              <a:off x="11049001" y="2007577"/>
              <a:ext cx="1077056" cy="3439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bHide m:val="on"/>
                        <m:supHide m:val="on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sSub>
                          <m:sSub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e>
                          <m: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  <m:sSup>
                      <m:sSup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̅"/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e>
                            </m:acc>
                          </m:e>
                        </m:d>
                      </m:e>
                      <m:sup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2" name="ZoneTexte 41">
              <a:extLst>
                <a:ext uri="{FF2B5EF4-FFF2-40B4-BE49-F238E27FC236}">
                  <a16:creationId xmlns:a16="http://schemas.microsoft.com/office/drawing/2014/main" id="{C856E197-1EE1-E255-CD39-9AE512FEE73C}"/>
                </a:ext>
              </a:extLst>
            </xdr:cNvPr>
            <xdr:cNvSpPr txBox="1"/>
          </xdr:nvSpPr>
          <xdr:spPr>
            <a:xfrm>
              <a:off x="11049001" y="2007577"/>
              <a:ext cx="1077056" cy="3439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∑▒</a:t>
              </a:r>
              <a:r>
                <a:rPr lang="fr-FR" sz="1100" b="0" i="0">
                  <a:latin typeface="Cambria Math" panose="02040503050406030204" pitchFamily="18" charset="0"/>
                </a:rPr>
                <a:t>𝑛_𝑖  </a:t>
              </a:r>
              <a:r>
                <a:rPr lang="fr-FR" sz="1100" i="0">
                  <a:latin typeface="Cambria Math" panose="02040503050406030204" pitchFamily="18" charset="0"/>
                </a:rPr>
                <a:t>〖</a:t>
              </a:r>
              <a:r>
                <a:rPr lang="fr-FR" sz="1100" b="0" i="0">
                  <a:latin typeface="Cambria Math" panose="02040503050406030204" pitchFamily="18" charset="0"/>
                </a:rPr>
                <a:t>∗(𝐶_𝑖−𝑋 ̅ )〗^2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13</xdr:col>
      <xdr:colOff>761999</xdr:colOff>
      <xdr:row>30</xdr:row>
      <xdr:rowOff>102576</xdr:rowOff>
    </xdr:from>
    <xdr:ext cx="1553307" cy="4396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ZoneTexte 43">
              <a:extLst>
                <a:ext uri="{FF2B5EF4-FFF2-40B4-BE49-F238E27FC236}">
                  <a16:creationId xmlns:a16="http://schemas.microsoft.com/office/drawing/2014/main" id="{28991639-3B79-4B0E-9033-5B311C7AF06D}"/>
                </a:ext>
              </a:extLst>
            </xdr:cNvPr>
            <xdr:cNvSpPr txBox="1"/>
          </xdr:nvSpPr>
          <xdr:spPr>
            <a:xfrm>
              <a:off x="11107614" y="5817576"/>
              <a:ext cx="1553307" cy="43961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  <m:sSup>
                          <m:sSup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∗</m:t>
                            </m:r>
                            <m:d>
                              <m:d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fr-FR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  <m:sub>
                                    <m: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acc>
                                  <m:accPr>
                                    <m:chr m:val="̅"/>
                                    <m:ctrlP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  <m:t>𝑋</m:t>
                                    </m:r>
                                  </m:e>
                                </m:acc>
                              </m:e>
                            </m:d>
                          </m:e>
                          <m:sup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4" name="ZoneTexte 43">
              <a:extLst>
                <a:ext uri="{FF2B5EF4-FFF2-40B4-BE49-F238E27FC236}">
                  <a16:creationId xmlns:a16="http://schemas.microsoft.com/office/drawing/2014/main" id="{28991639-3B79-4B0E-9033-5B311C7AF06D}"/>
                </a:ext>
              </a:extLst>
            </xdr:cNvPr>
            <xdr:cNvSpPr txBox="1"/>
          </xdr:nvSpPr>
          <xdr:spPr>
            <a:xfrm>
              <a:off x="11107614" y="5817576"/>
              <a:ext cx="1553307" cy="43961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𝑉=(∑▒𝑛_𝑖  〖∗(𝐶_𝑖−𝑋 ̅ )〗^2)/(∑▒𝑛_𝑖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15387</xdr:colOff>
      <xdr:row>35</xdr:row>
      <xdr:rowOff>14654</xdr:rowOff>
    </xdr:from>
    <xdr:ext cx="512513" cy="1727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ZoneTexte 44">
              <a:extLst>
                <a:ext uri="{FF2B5EF4-FFF2-40B4-BE49-F238E27FC236}">
                  <a16:creationId xmlns:a16="http://schemas.microsoft.com/office/drawing/2014/main" id="{C26CA25E-D0A1-95F8-FB85-0A0C92C3DE17}"/>
                </a:ext>
              </a:extLst>
            </xdr:cNvPr>
            <xdr:cNvSpPr txBox="1"/>
          </xdr:nvSpPr>
          <xdr:spPr>
            <a:xfrm>
              <a:off x="11123002" y="6682154"/>
              <a:ext cx="512513" cy="17272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√</m:t>
                    </m:r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𝑉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5" name="ZoneTexte 44">
              <a:extLst>
                <a:ext uri="{FF2B5EF4-FFF2-40B4-BE49-F238E27FC236}">
                  <a16:creationId xmlns:a16="http://schemas.microsoft.com/office/drawing/2014/main" id="{C26CA25E-D0A1-95F8-FB85-0A0C92C3DE17}"/>
                </a:ext>
              </a:extLst>
            </xdr:cNvPr>
            <xdr:cNvSpPr txBox="1"/>
          </xdr:nvSpPr>
          <xdr:spPr>
            <a:xfrm>
              <a:off x="11123002" y="6682154"/>
              <a:ext cx="512513" cy="17272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 √𝑉</a:t>
              </a:r>
              <a:endParaRPr lang="fr-FR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444500</xdr:colOff>
      <xdr:row>2</xdr:row>
      <xdr:rowOff>19050</xdr:rowOff>
    </xdr:from>
    <xdr:ext cx="233228" cy="1753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DF393B52-AD76-49AF-8CA1-EC6955758B2B}"/>
                </a:ext>
              </a:extLst>
            </xdr:cNvPr>
            <xdr:cNvSpPr txBox="1"/>
          </xdr:nvSpPr>
          <xdr:spPr>
            <a:xfrm>
              <a:off x="1968500" y="400050"/>
              <a:ext cx="233228" cy="175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DF393B52-AD76-49AF-8CA1-EC6955758B2B}"/>
                </a:ext>
              </a:extLst>
            </xdr:cNvPr>
            <xdr:cNvSpPr txBox="1"/>
          </xdr:nvSpPr>
          <xdr:spPr>
            <a:xfrm>
              <a:off x="1968500" y="400050"/>
              <a:ext cx="233228" cy="175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𝑁_𝑖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0</xdr:col>
      <xdr:colOff>666750</xdr:colOff>
      <xdr:row>2</xdr:row>
      <xdr:rowOff>12700</xdr:rowOff>
    </xdr:from>
    <xdr:ext cx="239131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E0A8DF9A-CE72-46C6-93F4-8D73CF862222}"/>
                </a:ext>
              </a:extLst>
            </xdr:cNvPr>
            <xdr:cNvSpPr txBox="1"/>
          </xdr:nvSpPr>
          <xdr:spPr>
            <a:xfrm>
              <a:off x="666750" y="393700"/>
              <a:ext cx="239131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E0A8DF9A-CE72-46C6-93F4-8D73CF862222}"/>
                </a:ext>
              </a:extLst>
            </xdr:cNvPr>
            <xdr:cNvSpPr txBox="1"/>
          </xdr:nvSpPr>
          <xdr:spPr>
            <a:xfrm>
              <a:off x="666750" y="393700"/>
              <a:ext cx="239131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𝑋_𝑖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2</xdr:row>
      <xdr:rowOff>76200</xdr:rowOff>
    </xdr:from>
    <xdr:ext cx="373949" cy="4099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C62F6A67-0A4D-45CA-BBB0-08ECD558B0D4}"/>
                </a:ext>
              </a:extLst>
            </xdr:cNvPr>
            <xdr:cNvSpPr txBox="1"/>
          </xdr:nvSpPr>
          <xdr:spPr>
            <a:xfrm>
              <a:off x="9372600" y="457200"/>
              <a:ext cx="373949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bHide m:val="on"/>
                        <m:supHide m:val="on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sSub>
                          <m:sSub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𝑁</m:t>
                            </m:r>
                          </m:e>
                          <m: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C62F6A67-0A4D-45CA-BBB0-08ECD558B0D4}"/>
                </a:ext>
              </a:extLst>
            </xdr:cNvPr>
            <xdr:cNvSpPr txBox="1"/>
          </xdr:nvSpPr>
          <xdr:spPr>
            <a:xfrm>
              <a:off x="9372600" y="457200"/>
              <a:ext cx="373949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i="0">
                  <a:latin typeface="Cambria Math" panose="02040503050406030204" pitchFamily="18" charset="0"/>
                </a:rPr>
                <a:t>∑</a:t>
              </a:r>
              <a:r>
                <a:rPr lang="fr-FR" sz="1100" b="0" i="0">
                  <a:latin typeface="Cambria Math" panose="02040503050406030204" pitchFamily="18" charset="0"/>
                </a:rPr>
                <a:t>▒𝑁_𝑖 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8</xdr:col>
      <xdr:colOff>190500</xdr:colOff>
      <xdr:row>2</xdr:row>
      <xdr:rowOff>9524</xdr:rowOff>
    </xdr:from>
    <xdr:ext cx="29378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B390E5DC-E6DB-4E4A-87AC-744A68A31900}"/>
                </a:ext>
              </a:extLst>
            </xdr:cNvPr>
            <xdr:cNvSpPr txBox="1"/>
          </xdr:nvSpPr>
          <xdr:spPr>
            <a:xfrm>
              <a:off x="5886450" y="390524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B390E5DC-E6DB-4E4A-87AC-744A68A31900}"/>
                </a:ext>
              </a:extLst>
            </xdr:cNvPr>
            <xdr:cNvSpPr txBox="1"/>
          </xdr:nvSpPr>
          <xdr:spPr>
            <a:xfrm>
              <a:off x="5886450" y="390524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9</xdr:col>
      <xdr:colOff>196850</xdr:colOff>
      <xdr:row>2</xdr:row>
      <xdr:rowOff>6350</xdr:rowOff>
    </xdr:from>
    <xdr:ext cx="43180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FF69F729-7032-4639-A3DF-BB647AE4F0F3}"/>
                </a:ext>
              </a:extLst>
            </xdr:cNvPr>
            <xdr:cNvSpPr txBox="1"/>
          </xdr:nvSpPr>
          <xdr:spPr>
            <a:xfrm>
              <a:off x="6511925" y="387350"/>
              <a:ext cx="4318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𝑁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* 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𝐶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FF69F729-7032-4639-A3DF-BB647AE4F0F3}"/>
                </a:ext>
              </a:extLst>
            </xdr:cNvPr>
            <xdr:cNvSpPr txBox="1"/>
          </xdr:nvSpPr>
          <xdr:spPr>
            <a:xfrm>
              <a:off x="6511925" y="387350"/>
              <a:ext cx="4318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𝑁_𝑖</a:t>
              </a:r>
              <a:r>
                <a:rPr lang="fr-FR" sz="1100"/>
                <a:t>* </a:t>
              </a:r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10</xdr:col>
      <xdr:colOff>273050</xdr:colOff>
      <xdr:row>2</xdr:row>
      <xdr:rowOff>12700</xdr:rowOff>
    </xdr:from>
    <xdr:ext cx="349250" cy="1769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36F75BF6-9AA5-4FC9-82AA-79D353853A8A}"/>
                </a:ext>
              </a:extLst>
            </xdr:cNvPr>
            <xdr:cNvSpPr txBox="1"/>
          </xdr:nvSpPr>
          <xdr:spPr>
            <a:xfrm>
              <a:off x="7207250" y="393700"/>
              <a:ext cx="349250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𝐶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-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</m:acc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36F75BF6-9AA5-4FC9-82AA-79D353853A8A}"/>
                </a:ext>
              </a:extLst>
            </xdr:cNvPr>
            <xdr:cNvSpPr txBox="1"/>
          </xdr:nvSpPr>
          <xdr:spPr>
            <a:xfrm>
              <a:off x="7207250" y="393700"/>
              <a:ext cx="349250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r>
                <a:rPr lang="fr-FR" sz="1100"/>
                <a:t>-</a:t>
              </a:r>
              <a:r>
                <a:rPr lang="fr-FR" sz="1100" b="0" i="0">
                  <a:latin typeface="Cambria Math" panose="02040503050406030204" pitchFamily="18" charset="0"/>
                </a:rPr>
                <a:t>𝑋 ̅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11</xdr:col>
      <xdr:colOff>95250</xdr:colOff>
      <xdr:row>2</xdr:row>
      <xdr:rowOff>6350</xdr:rowOff>
    </xdr:from>
    <xdr:ext cx="592790" cy="1772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9B4E22C4-7F46-4217-9D90-2C527F04B092}"/>
                </a:ext>
              </a:extLst>
            </xdr:cNvPr>
            <xdr:cNvSpPr txBox="1"/>
          </xdr:nvSpPr>
          <xdr:spPr>
            <a:xfrm>
              <a:off x="7648575" y="387350"/>
              <a:ext cx="59279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̅"/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e>
                            </m:acc>
                          </m:e>
                        </m:d>
                      </m:e>
                      <m:sup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9B4E22C4-7F46-4217-9D90-2C527F04B092}"/>
                </a:ext>
              </a:extLst>
            </xdr:cNvPr>
            <xdr:cNvSpPr txBox="1"/>
          </xdr:nvSpPr>
          <xdr:spPr>
            <a:xfrm>
              <a:off x="7648575" y="387350"/>
              <a:ext cx="59279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𝐶_𝑖−𝑋 ̅ )^2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12</xdr:col>
      <xdr:colOff>31750</xdr:colOff>
      <xdr:row>2</xdr:row>
      <xdr:rowOff>6350</xdr:rowOff>
    </xdr:from>
    <xdr:ext cx="825500" cy="1772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2B1B35C3-5310-4015-85EB-214833C9CC0F}"/>
                </a:ext>
              </a:extLst>
            </xdr:cNvPr>
            <xdr:cNvSpPr txBox="1"/>
          </xdr:nvSpPr>
          <xdr:spPr>
            <a:xfrm>
              <a:off x="8347075" y="387350"/>
              <a:ext cx="82550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d>
                        <m:d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fr-FR" sz="110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fr-FR" sz="1100" b="0" i="1">
                                  <a:latin typeface="Cambria Math" panose="02040503050406030204" pitchFamily="18" charset="0"/>
                                </a:rPr>
                                <m:t>𝐶</m:t>
                              </m:r>
                            </m:e>
                            <m:sub>
                              <m:r>
                                <a:rPr lang="fr-FR" sz="1100" b="0" i="1">
                                  <a:latin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−</m:t>
                          </m:r>
                          <m:acc>
                            <m:accPr>
                              <m:chr m:val="̅"/>
                              <m:ctrlPr>
                                <a:rPr lang="fr-FR" sz="1100" b="0" i="1">
                                  <a:latin typeface="Cambria Math" panose="02040503050406030204" pitchFamily="18" charset="0"/>
                                </a:rPr>
                              </m:ctrlPr>
                            </m:accPr>
                            <m:e>
                              <m:r>
                                <a:rPr lang="fr-FR" sz="1100" b="0" i="1">
                                  <a:latin typeface="Cambria Math" panose="02040503050406030204" pitchFamily="18" charset="0"/>
                                </a:rPr>
                                <m:t>𝑋</m:t>
                              </m:r>
                            </m:e>
                          </m:acc>
                        </m:e>
                      </m:d>
                    </m:e>
                    <m:sup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</m:oMath>
              </a14:m>
              <a:r>
                <a:rPr lang="fr-FR" sz="1100"/>
                <a:t>*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𝑁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2B1B35C3-5310-4015-85EB-214833C9CC0F}"/>
                </a:ext>
              </a:extLst>
            </xdr:cNvPr>
            <xdr:cNvSpPr txBox="1"/>
          </xdr:nvSpPr>
          <xdr:spPr>
            <a:xfrm>
              <a:off x="8347075" y="387350"/>
              <a:ext cx="82550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𝐶_𝑖−𝑋 ̅ )^2</a:t>
              </a:r>
              <a:r>
                <a:rPr lang="fr-FR" sz="1100"/>
                <a:t>*</a:t>
              </a:r>
              <a:r>
                <a:rPr lang="fr-FR" sz="1100" b="0" i="0">
                  <a:latin typeface="Cambria Math" panose="02040503050406030204" pitchFamily="18" charset="0"/>
                </a:rPr>
                <a:t>𝑁_𝑖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5</xdr:col>
      <xdr:colOff>209550</xdr:colOff>
      <xdr:row>2</xdr:row>
      <xdr:rowOff>28574</xdr:rowOff>
    </xdr:from>
    <xdr:ext cx="25400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13768807-2928-43C1-8BC8-E363032281E5}"/>
                </a:ext>
              </a:extLst>
            </xdr:cNvPr>
            <xdr:cNvSpPr txBox="1"/>
          </xdr:nvSpPr>
          <xdr:spPr>
            <a:xfrm>
              <a:off x="4048125" y="409574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13768807-2928-43C1-8BC8-E363032281E5}"/>
                </a:ext>
              </a:extLst>
            </xdr:cNvPr>
            <xdr:cNvSpPr txBox="1"/>
          </xdr:nvSpPr>
          <xdr:spPr>
            <a:xfrm>
              <a:off x="4048125" y="409574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𝐹_𝑖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6</xdr:col>
      <xdr:colOff>260350</xdr:colOff>
      <xdr:row>2</xdr:row>
      <xdr:rowOff>19050</xdr:rowOff>
    </xdr:from>
    <xdr:ext cx="28713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3D613789-5F83-481D-8D46-25DFCF890024}"/>
                </a:ext>
              </a:extLst>
            </xdr:cNvPr>
            <xdr:cNvSpPr txBox="1"/>
          </xdr:nvSpPr>
          <xdr:spPr>
            <a:xfrm>
              <a:off x="4718050" y="40005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3D613789-5F83-481D-8D46-25DFCF890024}"/>
                </a:ext>
              </a:extLst>
            </xdr:cNvPr>
            <xdr:cNvSpPr txBox="1"/>
          </xdr:nvSpPr>
          <xdr:spPr>
            <a:xfrm>
              <a:off x="4718050" y="40005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𝐹𝐶𝐶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7</xdr:col>
      <xdr:colOff>292100</xdr:colOff>
      <xdr:row>2</xdr:row>
      <xdr:rowOff>12700</xdr:rowOff>
    </xdr:from>
    <xdr:ext cx="300595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A93670F6-5DFB-4E7F-87E4-0EEC748FB6CF}"/>
                </a:ext>
              </a:extLst>
            </xdr:cNvPr>
            <xdr:cNvSpPr txBox="1"/>
          </xdr:nvSpPr>
          <xdr:spPr>
            <a:xfrm>
              <a:off x="5368925" y="3937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𝐹𝐷𝐶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A93670F6-5DFB-4E7F-87E4-0EEC748FB6CF}"/>
                </a:ext>
              </a:extLst>
            </xdr:cNvPr>
            <xdr:cNvSpPr txBox="1"/>
          </xdr:nvSpPr>
          <xdr:spPr>
            <a:xfrm>
              <a:off x="5368925" y="3937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𝐹𝐷𝐶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3</xdr:col>
      <xdr:colOff>234950</xdr:colOff>
      <xdr:row>2</xdr:row>
      <xdr:rowOff>25400</xdr:rowOff>
    </xdr:from>
    <xdr:ext cx="28905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ZoneTexte 12">
              <a:extLst>
                <a:ext uri="{FF2B5EF4-FFF2-40B4-BE49-F238E27FC236}">
                  <a16:creationId xmlns:a16="http://schemas.microsoft.com/office/drawing/2014/main" id="{9273FB97-4F9F-4994-842E-DD906A6CBA04}"/>
                </a:ext>
              </a:extLst>
            </xdr:cNvPr>
            <xdr:cNvSpPr txBox="1"/>
          </xdr:nvSpPr>
          <xdr:spPr>
            <a:xfrm>
              <a:off x="2835275" y="4064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3" name="ZoneTexte 12">
              <a:extLst>
                <a:ext uri="{FF2B5EF4-FFF2-40B4-BE49-F238E27FC236}">
                  <a16:creationId xmlns:a16="http://schemas.microsoft.com/office/drawing/2014/main" id="{9273FB97-4F9F-4994-842E-DD906A6CBA04}"/>
                </a:ext>
              </a:extLst>
            </xdr:cNvPr>
            <xdr:cNvSpPr txBox="1"/>
          </xdr:nvSpPr>
          <xdr:spPr>
            <a:xfrm>
              <a:off x="2835275" y="4064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𝐸𝐶𝐶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4</xdr:col>
      <xdr:colOff>222250</xdr:colOff>
      <xdr:row>2</xdr:row>
      <xdr:rowOff>19050</xdr:rowOff>
    </xdr:from>
    <xdr:ext cx="30040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ZoneTexte 13">
              <a:extLst>
                <a:ext uri="{FF2B5EF4-FFF2-40B4-BE49-F238E27FC236}">
                  <a16:creationId xmlns:a16="http://schemas.microsoft.com/office/drawing/2014/main" id="{CF5A3BD5-32C8-4B75-ABB3-9D15AC92413B}"/>
                </a:ext>
              </a:extLst>
            </xdr:cNvPr>
            <xdr:cNvSpPr txBox="1"/>
          </xdr:nvSpPr>
          <xdr:spPr>
            <a:xfrm>
              <a:off x="3441700" y="40005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𝐸𝐶𝐷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4" name="ZoneTexte 13">
              <a:extLst>
                <a:ext uri="{FF2B5EF4-FFF2-40B4-BE49-F238E27FC236}">
                  <a16:creationId xmlns:a16="http://schemas.microsoft.com/office/drawing/2014/main" id="{CF5A3BD5-32C8-4B75-ABB3-9D15AC92413B}"/>
                </a:ext>
              </a:extLst>
            </xdr:cNvPr>
            <xdr:cNvSpPr txBox="1"/>
          </xdr:nvSpPr>
          <xdr:spPr>
            <a:xfrm>
              <a:off x="3441700" y="40005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𝐸𝐶𝐷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28575</xdr:colOff>
      <xdr:row>7</xdr:row>
      <xdr:rowOff>23812</xdr:rowOff>
    </xdr:from>
    <xdr:ext cx="50061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ZoneTexte 14">
              <a:extLst>
                <a:ext uri="{FF2B5EF4-FFF2-40B4-BE49-F238E27FC236}">
                  <a16:creationId xmlns:a16="http://schemas.microsoft.com/office/drawing/2014/main" id="{C3AE1FEC-9744-4C5A-BCE2-85D0EC2DA6DF}"/>
                </a:ext>
              </a:extLst>
            </xdr:cNvPr>
            <xdr:cNvSpPr txBox="1"/>
          </xdr:nvSpPr>
          <xdr:spPr>
            <a:xfrm>
              <a:off x="9401175" y="1357312"/>
              <a:ext cx="5006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nary>
                    <m:naryPr>
                      <m:chr m:val="∑"/>
                      <m:subHide m:val="on"/>
                      <m:supHide m:val="on"/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naryPr>
                    <m:sub/>
                    <m:sup/>
                    <m:e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𝑖</m:t>
                          </m:r>
                        </m:sub>
                      </m:sSub>
                    </m:e>
                  </m:nary>
                </m:oMath>
              </a14:m>
              <a:r>
                <a:rPr lang="fr-FR" sz="1100"/>
                <a:t>*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𝐶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15" name="ZoneTexte 14">
              <a:extLst>
                <a:ext uri="{FF2B5EF4-FFF2-40B4-BE49-F238E27FC236}">
                  <a16:creationId xmlns:a16="http://schemas.microsoft.com/office/drawing/2014/main" id="{C3AE1FEC-9744-4C5A-BCE2-85D0EC2DA6DF}"/>
                </a:ext>
              </a:extLst>
            </xdr:cNvPr>
            <xdr:cNvSpPr txBox="1"/>
          </xdr:nvSpPr>
          <xdr:spPr>
            <a:xfrm>
              <a:off x="9401175" y="1357312"/>
              <a:ext cx="5006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∑</a:t>
              </a:r>
              <a:r>
                <a:rPr lang="fr-FR" sz="1100" b="0" i="0">
                  <a:latin typeface="Cambria Math" panose="02040503050406030204" pitchFamily="18" charset="0"/>
                </a:rPr>
                <a:t>▒𝑁_𝑖 </a:t>
              </a:r>
              <a:r>
                <a:rPr lang="fr-FR" sz="1100"/>
                <a:t>*</a:t>
              </a:r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3</xdr:row>
      <xdr:rowOff>0</xdr:rowOff>
    </xdr:from>
    <xdr:ext cx="28905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62885E97-8BE5-45AE-B295-91EED7182D6D}"/>
                </a:ext>
              </a:extLst>
            </xdr:cNvPr>
            <xdr:cNvSpPr txBox="1"/>
          </xdr:nvSpPr>
          <xdr:spPr>
            <a:xfrm>
              <a:off x="12696825" y="5715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62885E97-8BE5-45AE-B295-91EED7182D6D}"/>
                </a:ext>
              </a:extLst>
            </xdr:cNvPr>
            <xdr:cNvSpPr txBox="1"/>
          </xdr:nvSpPr>
          <xdr:spPr>
            <a:xfrm>
              <a:off x="12696825" y="5715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𝐸𝐶𝐶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4</xdr:row>
      <xdr:rowOff>0</xdr:rowOff>
    </xdr:from>
    <xdr:ext cx="30040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ZoneTexte 16">
              <a:extLst>
                <a:ext uri="{FF2B5EF4-FFF2-40B4-BE49-F238E27FC236}">
                  <a16:creationId xmlns:a16="http://schemas.microsoft.com/office/drawing/2014/main" id="{02728B82-C8B5-4816-80F6-21E0BB53CD4A}"/>
                </a:ext>
              </a:extLst>
            </xdr:cNvPr>
            <xdr:cNvSpPr txBox="1"/>
          </xdr:nvSpPr>
          <xdr:spPr>
            <a:xfrm>
              <a:off x="12696825" y="76200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𝐸𝐶𝐷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7" name="ZoneTexte 16">
              <a:extLst>
                <a:ext uri="{FF2B5EF4-FFF2-40B4-BE49-F238E27FC236}">
                  <a16:creationId xmlns:a16="http://schemas.microsoft.com/office/drawing/2014/main" id="{02728B82-C8B5-4816-80F6-21E0BB53CD4A}"/>
                </a:ext>
              </a:extLst>
            </xdr:cNvPr>
            <xdr:cNvSpPr txBox="1"/>
          </xdr:nvSpPr>
          <xdr:spPr>
            <a:xfrm>
              <a:off x="12696825" y="76200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𝐸𝐶𝐷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5</xdr:row>
      <xdr:rowOff>0</xdr:rowOff>
    </xdr:from>
    <xdr:ext cx="25400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ZoneTexte 17">
              <a:extLst>
                <a:ext uri="{FF2B5EF4-FFF2-40B4-BE49-F238E27FC236}">
                  <a16:creationId xmlns:a16="http://schemas.microsoft.com/office/drawing/2014/main" id="{E7D19FB3-8A78-4133-8E2A-CE3D9447177C}"/>
                </a:ext>
              </a:extLst>
            </xdr:cNvPr>
            <xdr:cNvSpPr txBox="1"/>
          </xdr:nvSpPr>
          <xdr:spPr>
            <a:xfrm>
              <a:off x="12696825" y="952500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8" name="ZoneTexte 17">
              <a:extLst>
                <a:ext uri="{FF2B5EF4-FFF2-40B4-BE49-F238E27FC236}">
                  <a16:creationId xmlns:a16="http://schemas.microsoft.com/office/drawing/2014/main" id="{E7D19FB3-8A78-4133-8E2A-CE3D9447177C}"/>
                </a:ext>
              </a:extLst>
            </xdr:cNvPr>
            <xdr:cNvSpPr txBox="1"/>
          </xdr:nvSpPr>
          <xdr:spPr>
            <a:xfrm>
              <a:off x="12696825" y="952500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𝐹_𝑖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6</xdr:row>
      <xdr:rowOff>0</xdr:rowOff>
    </xdr:from>
    <xdr:ext cx="28713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1A781EEE-C2A0-4FE8-8064-75816AEA1A8D}"/>
                </a:ext>
              </a:extLst>
            </xdr:cNvPr>
            <xdr:cNvSpPr txBox="1"/>
          </xdr:nvSpPr>
          <xdr:spPr>
            <a:xfrm>
              <a:off x="12696825" y="114300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1A781EEE-C2A0-4FE8-8064-75816AEA1A8D}"/>
                </a:ext>
              </a:extLst>
            </xdr:cNvPr>
            <xdr:cNvSpPr txBox="1"/>
          </xdr:nvSpPr>
          <xdr:spPr>
            <a:xfrm>
              <a:off x="12696825" y="114300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𝐹𝐶𝐶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7</xdr:row>
      <xdr:rowOff>0</xdr:rowOff>
    </xdr:from>
    <xdr:ext cx="300595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2EF82D7A-CDBD-4ABD-8B44-DB40749096BA}"/>
                </a:ext>
              </a:extLst>
            </xdr:cNvPr>
            <xdr:cNvSpPr txBox="1"/>
          </xdr:nvSpPr>
          <xdr:spPr>
            <a:xfrm>
              <a:off x="12696825" y="13335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𝐹𝐷𝐶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2EF82D7A-CDBD-4ABD-8B44-DB40749096BA}"/>
                </a:ext>
              </a:extLst>
            </xdr:cNvPr>
            <xdr:cNvSpPr txBox="1"/>
          </xdr:nvSpPr>
          <xdr:spPr>
            <a:xfrm>
              <a:off x="12696825" y="13335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𝐹𝐷𝐶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8</xdr:row>
      <xdr:rowOff>0</xdr:rowOff>
    </xdr:from>
    <xdr:ext cx="29378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ZoneTexte 20">
              <a:extLst>
                <a:ext uri="{FF2B5EF4-FFF2-40B4-BE49-F238E27FC236}">
                  <a16:creationId xmlns:a16="http://schemas.microsoft.com/office/drawing/2014/main" id="{DAE7AC8C-1F3E-4C28-B40B-F8CBBC0ADC3E}"/>
                </a:ext>
              </a:extLst>
            </xdr:cNvPr>
            <xdr:cNvSpPr txBox="1"/>
          </xdr:nvSpPr>
          <xdr:spPr>
            <a:xfrm>
              <a:off x="12696825" y="1524000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1" name="ZoneTexte 20">
              <a:extLst>
                <a:ext uri="{FF2B5EF4-FFF2-40B4-BE49-F238E27FC236}">
                  <a16:creationId xmlns:a16="http://schemas.microsoft.com/office/drawing/2014/main" id="{DAE7AC8C-1F3E-4C28-B40B-F8CBBC0ADC3E}"/>
                </a:ext>
              </a:extLst>
            </xdr:cNvPr>
            <xdr:cNvSpPr txBox="1"/>
          </xdr:nvSpPr>
          <xdr:spPr>
            <a:xfrm>
              <a:off x="12696825" y="1524000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20411</xdr:colOff>
      <xdr:row>4</xdr:row>
      <xdr:rowOff>112259</xdr:rowOff>
    </xdr:from>
    <xdr:ext cx="530677" cy="3261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18DF4F55-CC29-4569-A2C3-44E21CD1E406}"/>
                </a:ext>
              </a:extLst>
            </xdr:cNvPr>
            <xdr:cNvSpPr txBox="1"/>
          </xdr:nvSpPr>
          <xdr:spPr>
            <a:xfrm>
              <a:off x="9393011" y="874259"/>
              <a:ext cx="530677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num>
                      <m:den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18DF4F55-CC29-4569-A2C3-44E21CD1E406}"/>
                </a:ext>
              </a:extLst>
            </xdr:cNvPr>
            <xdr:cNvSpPr txBox="1"/>
          </xdr:nvSpPr>
          <xdr:spPr>
            <a:xfrm>
              <a:off x="9393011" y="874259"/>
              <a:ext cx="530677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𝑅=</a:t>
              </a:r>
              <a:r>
                <a:rPr lang="fr-FR" sz="1100" i="0">
                  <a:latin typeface="Cambria Math" panose="02040503050406030204" pitchFamily="18" charset="0"/>
                </a:rPr>
                <a:t>(∑</a:t>
              </a:r>
              <a:r>
                <a:rPr lang="fr-FR" sz="1100" b="0" i="0">
                  <a:latin typeface="Cambria Math" panose="02040503050406030204" pitchFamily="18" charset="0"/>
                </a:rPr>
                <a:t>▒𝑛_𝑖 )/2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40822</xdr:colOff>
      <xdr:row>14</xdr:row>
      <xdr:rowOff>29255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ZoneTexte 22">
              <a:extLst>
                <a:ext uri="{FF2B5EF4-FFF2-40B4-BE49-F238E27FC236}">
                  <a16:creationId xmlns:a16="http://schemas.microsoft.com/office/drawing/2014/main" id="{5DB5AAA8-8FA4-454C-9EFD-BC4FEB70E0D6}"/>
                </a:ext>
              </a:extLst>
            </xdr:cNvPr>
            <xdr:cNvSpPr txBox="1"/>
          </xdr:nvSpPr>
          <xdr:spPr>
            <a:xfrm>
              <a:off x="9413422" y="2696255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𝐸𝐶𝐶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𝑅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23" name="ZoneTexte 22">
              <a:extLst>
                <a:ext uri="{FF2B5EF4-FFF2-40B4-BE49-F238E27FC236}">
                  <a16:creationId xmlns:a16="http://schemas.microsoft.com/office/drawing/2014/main" id="{5DB5AAA8-8FA4-454C-9EFD-BC4FEB70E0D6}"/>
                </a:ext>
              </a:extLst>
            </xdr:cNvPr>
            <xdr:cNvSpPr txBox="1"/>
          </xdr:nvSpPr>
          <xdr:spPr>
            <a:xfrm>
              <a:off x="9413422" y="2696255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𝐸𝐶𝐶, 𝑅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54428</xdr:colOff>
      <xdr:row>15</xdr:row>
      <xdr:rowOff>29255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ZoneTexte 23">
              <a:extLst>
                <a:ext uri="{FF2B5EF4-FFF2-40B4-BE49-F238E27FC236}">
                  <a16:creationId xmlns:a16="http://schemas.microsoft.com/office/drawing/2014/main" id="{0EBD32DA-982B-433F-B9B6-0F5E4C74B0EC}"/>
                </a:ext>
              </a:extLst>
            </xdr:cNvPr>
            <xdr:cNvSpPr txBox="1"/>
          </xdr:nvSpPr>
          <xdr:spPr>
            <a:xfrm>
              <a:off x="9427028" y="2886755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Dans 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R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24" name="ZoneTexte 23">
              <a:extLst>
                <a:ext uri="{FF2B5EF4-FFF2-40B4-BE49-F238E27FC236}">
                  <a16:creationId xmlns:a16="http://schemas.microsoft.com/office/drawing/2014/main" id="{0EBD32DA-982B-433F-B9B6-0F5E4C74B0EC}"/>
                </a:ext>
              </a:extLst>
            </xdr:cNvPr>
            <xdr:cNvSpPr txBox="1"/>
          </xdr:nvSpPr>
          <xdr:spPr>
            <a:xfrm>
              <a:off x="9427028" y="2886755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Dans </a:t>
              </a:r>
              <a:r>
                <a:rPr lang="fr-FR" sz="1100" b="0" i="0">
                  <a:latin typeface="Cambria Math" panose="02040503050406030204" pitchFamily="18" charset="0"/>
                </a:rPr>
                <a:t>𝑋_𝑖</a:t>
              </a:r>
              <a:r>
                <a:rPr lang="fr-FR" sz="1100"/>
                <a:t>, R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34018</xdr:colOff>
      <xdr:row>16</xdr:row>
      <xdr:rowOff>178933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E4A10A38-6E47-408D-AF19-E8BCCE0CD0E0}"/>
                </a:ext>
              </a:extLst>
            </xdr:cNvPr>
            <xdr:cNvSpPr txBox="1"/>
          </xdr:nvSpPr>
          <xdr:spPr>
            <a:xfrm>
              <a:off x="9406618" y="3226933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𝑅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E4A10A38-6E47-408D-AF19-E8BCCE0CD0E0}"/>
                </a:ext>
              </a:extLst>
            </xdr:cNvPr>
            <xdr:cNvSpPr txBox="1"/>
          </xdr:nvSpPr>
          <xdr:spPr>
            <a:xfrm>
              <a:off x="9406618" y="3226933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−𝑥_1)/(𝑅−𝑓𝑥_1 )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53067</xdr:colOff>
      <xdr:row>9</xdr:row>
      <xdr:rowOff>22451</xdr:rowOff>
    </xdr:from>
    <xdr:ext cx="149848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ZoneTexte 25">
              <a:extLst>
                <a:ext uri="{FF2B5EF4-FFF2-40B4-BE49-F238E27FC236}">
                  <a16:creationId xmlns:a16="http://schemas.microsoft.com/office/drawing/2014/main" id="{902C586F-F9BE-45E4-9BF7-777BEFCCF495}"/>
                </a:ext>
              </a:extLst>
            </xdr:cNvPr>
            <xdr:cNvSpPr txBox="1"/>
          </xdr:nvSpPr>
          <xdr:spPr>
            <a:xfrm>
              <a:off x="9425667" y="1736951"/>
              <a:ext cx="149848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6" name="ZoneTexte 25">
              <a:extLst>
                <a:ext uri="{FF2B5EF4-FFF2-40B4-BE49-F238E27FC236}">
                  <a16:creationId xmlns:a16="http://schemas.microsoft.com/office/drawing/2014/main" id="{902C586F-F9BE-45E4-9BF7-777BEFCCF495}"/>
                </a:ext>
              </a:extLst>
            </xdr:cNvPr>
            <xdr:cNvSpPr txBox="1"/>
          </xdr:nvSpPr>
          <xdr:spPr>
            <a:xfrm>
              <a:off x="9425667" y="1736951"/>
              <a:ext cx="149848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𝑀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34017</xdr:colOff>
      <xdr:row>20</xdr:row>
      <xdr:rowOff>27214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ZoneTexte 26">
              <a:extLst>
                <a:ext uri="{FF2B5EF4-FFF2-40B4-BE49-F238E27FC236}">
                  <a16:creationId xmlns:a16="http://schemas.microsoft.com/office/drawing/2014/main" id="{FD49ADD8-1327-4E07-8DC5-78F19FBFB451}"/>
                </a:ext>
              </a:extLst>
            </xdr:cNvPr>
            <xdr:cNvSpPr txBox="1"/>
          </xdr:nvSpPr>
          <xdr:spPr>
            <a:xfrm>
              <a:off x="9406617" y="38372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𝐹𝐶𝐶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𝑀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27" name="ZoneTexte 26">
              <a:extLst>
                <a:ext uri="{FF2B5EF4-FFF2-40B4-BE49-F238E27FC236}">
                  <a16:creationId xmlns:a16="http://schemas.microsoft.com/office/drawing/2014/main" id="{FD49ADD8-1327-4E07-8DC5-78F19FBFB451}"/>
                </a:ext>
              </a:extLst>
            </xdr:cNvPr>
            <xdr:cNvSpPr txBox="1"/>
          </xdr:nvSpPr>
          <xdr:spPr>
            <a:xfrm>
              <a:off x="9406617" y="38372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𝐹𝐶𝐶, 𝑀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40821</xdr:colOff>
      <xdr:row>21</xdr:row>
      <xdr:rowOff>20410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20F0066C-4DA9-4492-A92F-760208DA3D4A}"/>
                </a:ext>
              </a:extLst>
            </xdr:cNvPr>
            <xdr:cNvSpPr txBox="1"/>
          </xdr:nvSpPr>
          <xdr:spPr>
            <a:xfrm>
              <a:off x="9413421" y="40209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fr-FR" sz="1100" b="0" i="0">
                      <a:latin typeface="Cambria Math" panose="02040503050406030204" pitchFamily="18" charset="0"/>
                    </a:rPr>
                    <m:t>ans</m:t>
                  </m:r>
                  <m:r>
                    <a:rPr lang="fr-FR" sz="1100" b="0" i="0">
                      <a:latin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M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20F0066C-4DA9-4492-A92F-760208DA3D4A}"/>
                </a:ext>
              </a:extLst>
            </xdr:cNvPr>
            <xdr:cNvSpPr txBox="1"/>
          </xdr:nvSpPr>
          <xdr:spPr>
            <a:xfrm>
              <a:off x="9413421" y="40209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:r>
                <a:rPr lang="fr-FR" sz="1100" b="0" i="0">
                  <a:latin typeface="Cambria Math" panose="02040503050406030204" pitchFamily="18" charset="0"/>
                </a:rPr>
                <a:t>ans 𝑋_𝑖</a:t>
              </a:r>
              <a:r>
                <a:rPr lang="fr-FR" sz="1100"/>
                <a:t>, M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6803</xdr:colOff>
      <xdr:row>23</xdr:row>
      <xdr:rowOff>6804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ZoneTexte 28">
              <a:extLst>
                <a:ext uri="{FF2B5EF4-FFF2-40B4-BE49-F238E27FC236}">
                  <a16:creationId xmlns:a16="http://schemas.microsoft.com/office/drawing/2014/main" id="{3DB5C5A6-35AE-4C09-B8DA-631321301FF5}"/>
                </a:ext>
              </a:extLst>
            </xdr:cNvPr>
            <xdr:cNvSpPr txBox="1"/>
          </xdr:nvSpPr>
          <xdr:spPr>
            <a:xfrm>
              <a:off x="9379403" y="43883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𝑀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29" name="ZoneTexte 28">
              <a:extLst>
                <a:ext uri="{FF2B5EF4-FFF2-40B4-BE49-F238E27FC236}">
                  <a16:creationId xmlns:a16="http://schemas.microsoft.com/office/drawing/2014/main" id="{3DB5C5A6-35AE-4C09-B8DA-631321301FF5}"/>
                </a:ext>
              </a:extLst>
            </xdr:cNvPr>
            <xdr:cNvSpPr txBox="1"/>
          </xdr:nvSpPr>
          <xdr:spPr>
            <a:xfrm>
              <a:off x="9379403" y="43883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−𝑥_1)/(𝑀−𝑓𝑥_1 )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5442</xdr:colOff>
      <xdr:row>26</xdr:row>
      <xdr:rowOff>124505</xdr:rowOff>
    </xdr:from>
    <xdr:ext cx="830227" cy="3558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ZoneTexte 29">
              <a:extLst>
                <a:ext uri="{FF2B5EF4-FFF2-40B4-BE49-F238E27FC236}">
                  <a16:creationId xmlns:a16="http://schemas.microsoft.com/office/drawing/2014/main" id="{93615ABF-98AF-45DC-A545-A557B5A86A56}"/>
                </a:ext>
              </a:extLst>
            </xdr:cNvPr>
            <xdr:cNvSpPr txBox="1"/>
          </xdr:nvSpPr>
          <xdr:spPr>
            <a:xfrm>
              <a:off x="9378042" y="5077505"/>
              <a:ext cx="830227" cy="355803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fr-FR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fr-F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num>
                      <m:den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0" name="ZoneTexte 29">
              <a:extLst>
                <a:ext uri="{FF2B5EF4-FFF2-40B4-BE49-F238E27FC236}">
                  <a16:creationId xmlns:a16="http://schemas.microsoft.com/office/drawing/2014/main" id="{93615ABF-98AF-45DC-A545-A557B5A86A56}"/>
                </a:ext>
              </a:extLst>
            </xdr:cNvPr>
            <xdr:cNvSpPr txBox="1"/>
          </xdr:nvSpPr>
          <xdr:spPr>
            <a:xfrm>
              <a:off x="9378042" y="5077505"/>
              <a:ext cx="830227" cy="355803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𝑋 ̅=  (∑</a:t>
              </a:r>
              <a:r>
                <a:rPr lang="fr-F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▒〖𝑛_𝑖∗𝐶_𝑖 〗)/(∑▒</a:t>
              </a:r>
              <a:r>
                <a:rPr lang="fr-FR" sz="1100" b="0" i="0">
                  <a:latin typeface="Cambria Math" panose="02040503050406030204" pitchFamily="18" charset="0"/>
                </a:rPr>
                <a:t>𝑛_𝑖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13</xdr:col>
      <xdr:colOff>703386</xdr:colOff>
      <xdr:row>10</xdr:row>
      <xdr:rowOff>102577</xdr:rowOff>
    </xdr:from>
    <xdr:ext cx="1077056" cy="3439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ZoneTexte 30">
              <a:extLst>
                <a:ext uri="{FF2B5EF4-FFF2-40B4-BE49-F238E27FC236}">
                  <a16:creationId xmlns:a16="http://schemas.microsoft.com/office/drawing/2014/main" id="{8F27979B-1EBC-472C-A74F-805ECB8FBE9E}"/>
                </a:ext>
              </a:extLst>
            </xdr:cNvPr>
            <xdr:cNvSpPr txBox="1"/>
          </xdr:nvSpPr>
          <xdr:spPr>
            <a:xfrm>
              <a:off x="9371136" y="2007577"/>
              <a:ext cx="1077056" cy="3439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bHide m:val="on"/>
                        <m:supHide m:val="on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sSub>
                          <m:sSub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e>
                          <m: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  <m:sSup>
                      <m:sSup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̅"/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e>
                            </m:acc>
                          </m:e>
                        </m:d>
                      </m:e>
                      <m:sup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1" name="ZoneTexte 30">
              <a:extLst>
                <a:ext uri="{FF2B5EF4-FFF2-40B4-BE49-F238E27FC236}">
                  <a16:creationId xmlns:a16="http://schemas.microsoft.com/office/drawing/2014/main" id="{8F27979B-1EBC-472C-A74F-805ECB8FBE9E}"/>
                </a:ext>
              </a:extLst>
            </xdr:cNvPr>
            <xdr:cNvSpPr txBox="1"/>
          </xdr:nvSpPr>
          <xdr:spPr>
            <a:xfrm>
              <a:off x="9371136" y="2007577"/>
              <a:ext cx="1077056" cy="3439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fr-FR" sz="1100" i="0">
                  <a:latin typeface="Cambria Math" panose="02040503050406030204" pitchFamily="18" charset="0"/>
                </a:rPr>
                <a:t>∑</a:t>
              </a:r>
              <a:r>
                <a:rPr lang="fr-FR" sz="1100" b="0" i="0">
                  <a:latin typeface="Cambria Math" panose="02040503050406030204" pitchFamily="18" charset="0"/>
                </a:rPr>
                <a:t>▒𝑛_𝑖  </a:t>
              </a:r>
              <a:r>
                <a:rPr lang="fr-FR" sz="1100" i="0">
                  <a:latin typeface="Cambria Math" panose="02040503050406030204" pitchFamily="18" charset="0"/>
                </a:rPr>
                <a:t>〖</a:t>
              </a:r>
              <a:r>
                <a:rPr lang="fr-FR" sz="1100" b="0" i="0">
                  <a:latin typeface="Cambria Math" panose="02040503050406030204" pitchFamily="18" charset="0"/>
                </a:rPr>
                <a:t>∗(𝐶_𝑖−𝑋 ̅ )〗^2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13</xdr:col>
      <xdr:colOff>761999</xdr:colOff>
      <xdr:row>30</xdr:row>
      <xdr:rowOff>102576</xdr:rowOff>
    </xdr:from>
    <xdr:ext cx="1553307" cy="4396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ZoneTexte 31">
              <a:extLst>
                <a:ext uri="{FF2B5EF4-FFF2-40B4-BE49-F238E27FC236}">
                  <a16:creationId xmlns:a16="http://schemas.microsoft.com/office/drawing/2014/main" id="{A07A5D22-6F76-46C4-8471-F0D0D5EB652D}"/>
                </a:ext>
              </a:extLst>
            </xdr:cNvPr>
            <xdr:cNvSpPr txBox="1"/>
          </xdr:nvSpPr>
          <xdr:spPr>
            <a:xfrm>
              <a:off x="9372599" y="5817576"/>
              <a:ext cx="1553307" cy="43961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  <m:sSup>
                          <m:sSup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∗</m:t>
                            </m:r>
                            <m:d>
                              <m:d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fr-FR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  <m:sub>
                                    <m: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acc>
                                  <m:accPr>
                                    <m:chr m:val="̅"/>
                                    <m:ctrlP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  <m:t>𝑋</m:t>
                                    </m:r>
                                  </m:e>
                                </m:acc>
                              </m:e>
                            </m:d>
                          </m:e>
                          <m:sup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2" name="ZoneTexte 31">
              <a:extLst>
                <a:ext uri="{FF2B5EF4-FFF2-40B4-BE49-F238E27FC236}">
                  <a16:creationId xmlns:a16="http://schemas.microsoft.com/office/drawing/2014/main" id="{A07A5D22-6F76-46C4-8471-F0D0D5EB652D}"/>
                </a:ext>
              </a:extLst>
            </xdr:cNvPr>
            <xdr:cNvSpPr txBox="1"/>
          </xdr:nvSpPr>
          <xdr:spPr>
            <a:xfrm>
              <a:off x="9372599" y="5817576"/>
              <a:ext cx="1553307" cy="43961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𝑉=(∑▒𝑛_𝑖  〖∗(𝐶_𝑖−𝑋 ̅ )〗^2)/(∑▒𝑛_𝑖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15387</xdr:colOff>
      <xdr:row>35</xdr:row>
      <xdr:rowOff>14654</xdr:rowOff>
    </xdr:from>
    <xdr:ext cx="512513" cy="1727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ZoneTexte 32">
              <a:extLst>
                <a:ext uri="{FF2B5EF4-FFF2-40B4-BE49-F238E27FC236}">
                  <a16:creationId xmlns:a16="http://schemas.microsoft.com/office/drawing/2014/main" id="{AE3FE4AA-4C06-42D9-8B91-4CC18EFA97FA}"/>
                </a:ext>
              </a:extLst>
            </xdr:cNvPr>
            <xdr:cNvSpPr txBox="1"/>
          </xdr:nvSpPr>
          <xdr:spPr>
            <a:xfrm>
              <a:off x="9387987" y="6691679"/>
              <a:ext cx="512513" cy="17272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√</m:t>
                    </m:r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𝑉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3" name="ZoneTexte 32">
              <a:extLst>
                <a:ext uri="{FF2B5EF4-FFF2-40B4-BE49-F238E27FC236}">
                  <a16:creationId xmlns:a16="http://schemas.microsoft.com/office/drawing/2014/main" id="{AE3FE4AA-4C06-42D9-8B91-4CC18EFA97FA}"/>
                </a:ext>
              </a:extLst>
            </xdr:cNvPr>
            <xdr:cNvSpPr txBox="1"/>
          </xdr:nvSpPr>
          <xdr:spPr>
            <a:xfrm>
              <a:off x="9387987" y="6691679"/>
              <a:ext cx="512513" cy="17272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 √𝑉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</xdr:col>
      <xdr:colOff>34017</xdr:colOff>
      <xdr:row>27</xdr:row>
      <xdr:rowOff>27214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ZoneTexte 36">
              <a:extLst>
                <a:ext uri="{FF2B5EF4-FFF2-40B4-BE49-F238E27FC236}">
                  <a16:creationId xmlns:a16="http://schemas.microsoft.com/office/drawing/2014/main" id="{102B9516-2899-45CE-A54E-3C2ED9891FCC}"/>
                </a:ext>
              </a:extLst>
            </xdr:cNvPr>
            <xdr:cNvSpPr txBox="1"/>
          </xdr:nvSpPr>
          <xdr:spPr>
            <a:xfrm>
              <a:off x="9406617" y="38753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𝐹𝐶𝐶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𝑀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37" name="ZoneTexte 36">
              <a:extLst>
                <a:ext uri="{FF2B5EF4-FFF2-40B4-BE49-F238E27FC236}">
                  <a16:creationId xmlns:a16="http://schemas.microsoft.com/office/drawing/2014/main" id="{102B9516-2899-45CE-A54E-3C2ED9891FCC}"/>
                </a:ext>
              </a:extLst>
            </xdr:cNvPr>
            <xdr:cNvSpPr txBox="1"/>
          </xdr:nvSpPr>
          <xdr:spPr>
            <a:xfrm>
              <a:off x="9406617" y="38753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𝐹𝐶𝐶, 𝑀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</xdr:col>
      <xdr:colOff>40821</xdr:colOff>
      <xdr:row>28</xdr:row>
      <xdr:rowOff>20410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ZoneTexte 37">
              <a:extLst>
                <a:ext uri="{FF2B5EF4-FFF2-40B4-BE49-F238E27FC236}">
                  <a16:creationId xmlns:a16="http://schemas.microsoft.com/office/drawing/2014/main" id="{6F6DABAD-EDCE-4952-9C0F-676C1A79E091}"/>
                </a:ext>
              </a:extLst>
            </xdr:cNvPr>
            <xdr:cNvSpPr txBox="1"/>
          </xdr:nvSpPr>
          <xdr:spPr>
            <a:xfrm>
              <a:off x="9413421" y="40590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fr-FR" sz="1100" b="0" i="0">
                      <a:latin typeface="Cambria Math" panose="02040503050406030204" pitchFamily="18" charset="0"/>
                    </a:rPr>
                    <m:t>ans</m:t>
                  </m:r>
                  <m:r>
                    <a:rPr lang="fr-FR" sz="1100" b="0" i="0">
                      <a:latin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M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38" name="ZoneTexte 37">
              <a:extLst>
                <a:ext uri="{FF2B5EF4-FFF2-40B4-BE49-F238E27FC236}">
                  <a16:creationId xmlns:a16="http://schemas.microsoft.com/office/drawing/2014/main" id="{6F6DABAD-EDCE-4952-9C0F-676C1A79E091}"/>
                </a:ext>
              </a:extLst>
            </xdr:cNvPr>
            <xdr:cNvSpPr txBox="1"/>
          </xdr:nvSpPr>
          <xdr:spPr>
            <a:xfrm>
              <a:off x="9413421" y="40590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:r>
                <a:rPr lang="fr-FR" sz="1100" b="0" i="0">
                  <a:latin typeface="Cambria Math" panose="02040503050406030204" pitchFamily="18" charset="0"/>
                </a:rPr>
                <a:t>ans 𝑋_𝑖</a:t>
              </a:r>
              <a:r>
                <a:rPr lang="fr-FR" sz="1100"/>
                <a:t>, M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</xdr:col>
      <xdr:colOff>6803</xdr:colOff>
      <xdr:row>30</xdr:row>
      <xdr:rowOff>6804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E0F3E9DF-CA18-4215-A7E4-602A1F9DC529}"/>
                </a:ext>
              </a:extLst>
            </xdr:cNvPr>
            <xdr:cNvSpPr txBox="1"/>
          </xdr:nvSpPr>
          <xdr:spPr>
            <a:xfrm>
              <a:off x="9379403" y="44264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𝑀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E0F3E9DF-CA18-4215-A7E4-602A1F9DC529}"/>
                </a:ext>
              </a:extLst>
            </xdr:cNvPr>
            <xdr:cNvSpPr txBox="1"/>
          </xdr:nvSpPr>
          <xdr:spPr>
            <a:xfrm>
              <a:off x="9379403" y="44264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−𝑥_1)/(𝑀−𝑓𝑥_1 )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</xdr:col>
      <xdr:colOff>34017</xdr:colOff>
      <xdr:row>34</xdr:row>
      <xdr:rowOff>27214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ZoneTexte 39">
              <a:extLst>
                <a:ext uri="{FF2B5EF4-FFF2-40B4-BE49-F238E27FC236}">
                  <a16:creationId xmlns:a16="http://schemas.microsoft.com/office/drawing/2014/main" id="{64ECFAB4-328F-4112-8F8F-A0F002AB0928}"/>
                </a:ext>
              </a:extLst>
            </xdr:cNvPr>
            <xdr:cNvSpPr txBox="1"/>
          </xdr:nvSpPr>
          <xdr:spPr>
            <a:xfrm>
              <a:off x="796017" y="52088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𝐹𝐶𝐶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𝑀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40" name="ZoneTexte 39">
              <a:extLst>
                <a:ext uri="{FF2B5EF4-FFF2-40B4-BE49-F238E27FC236}">
                  <a16:creationId xmlns:a16="http://schemas.microsoft.com/office/drawing/2014/main" id="{64ECFAB4-328F-4112-8F8F-A0F002AB0928}"/>
                </a:ext>
              </a:extLst>
            </xdr:cNvPr>
            <xdr:cNvSpPr txBox="1"/>
          </xdr:nvSpPr>
          <xdr:spPr>
            <a:xfrm>
              <a:off x="796017" y="52088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𝐹𝐶𝐶, 𝑀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</xdr:col>
      <xdr:colOff>40821</xdr:colOff>
      <xdr:row>35</xdr:row>
      <xdr:rowOff>20410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ZoneTexte 40">
              <a:extLst>
                <a:ext uri="{FF2B5EF4-FFF2-40B4-BE49-F238E27FC236}">
                  <a16:creationId xmlns:a16="http://schemas.microsoft.com/office/drawing/2014/main" id="{64A8A1DF-7694-45B3-B054-D1C7C57C3CF9}"/>
                </a:ext>
              </a:extLst>
            </xdr:cNvPr>
            <xdr:cNvSpPr txBox="1"/>
          </xdr:nvSpPr>
          <xdr:spPr>
            <a:xfrm>
              <a:off x="802821" y="53925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fr-FR" sz="1100" b="0" i="0">
                      <a:latin typeface="Cambria Math" panose="02040503050406030204" pitchFamily="18" charset="0"/>
                    </a:rPr>
                    <m:t>ans</m:t>
                  </m:r>
                  <m:r>
                    <a:rPr lang="fr-FR" sz="1100" b="0" i="0">
                      <a:latin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M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41" name="ZoneTexte 40">
              <a:extLst>
                <a:ext uri="{FF2B5EF4-FFF2-40B4-BE49-F238E27FC236}">
                  <a16:creationId xmlns:a16="http://schemas.microsoft.com/office/drawing/2014/main" id="{64A8A1DF-7694-45B3-B054-D1C7C57C3CF9}"/>
                </a:ext>
              </a:extLst>
            </xdr:cNvPr>
            <xdr:cNvSpPr txBox="1"/>
          </xdr:nvSpPr>
          <xdr:spPr>
            <a:xfrm>
              <a:off x="802821" y="53925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:r>
                <a:rPr lang="fr-FR" sz="1100" b="0" i="0">
                  <a:latin typeface="Cambria Math" panose="02040503050406030204" pitchFamily="18" charset="0"/>
                </a:rPr>
                <a:t>ans 𝑋_𝑖</a:t>
              </a:r>
              <a:r>
                <a:rPr lang="fr-FR" sz="1100"/>
                <a:t>, M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</xdr:col>
      <xdr:colOff>6803</xdr:colOff>
      <xdr:row>37</xdr:row>
      <xdr:rowOff>6804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ZoneTexte 41">
              <a:extLst>
                <a:ext uri="{FF2B5EF4-FFF2-40B4-BE49-F238E27FC236}">
                  <a16:creationId xmlns:a16="http://schemas.microsoft.com/office/drawing/2014/main" id="{B6B11B86-6A40-46D2-BB7A-FBC5348425EC}"/>
                </a:ext>
              </a:extLst>
            </xdr:cNvPr>
            <xdr:cNvSpPr txBox="1"/>
          </xdr:nvSpPr>
          <xdr:spPr>
            <a:xfrm>
              <a:off x="768803" y="57599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𝑀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42" name="ZoneTexte 41">
              <a:extLst>
                <a:ext uri="{FF2B5EF4-FFF2-40B4-BE49-F238E27FC236}">
                  <a16:creationId xmlns:a16="http://schemas.microsoft.com/office/drawing/2014/main" id="{B6B11B86-6A40-46D2-BB7A-FBC5348425EC}"/>
                </a:ext>
              </a:extLst>
            </xdr:cNvPr>
            <xdr:cNvSpPr txBox="1"/>
          </xdr:nvSpPr>
          <xdr:spPr>
            <a:xfrm>
              <a:off x="768803" y="57599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−𝑥_1)/(𝑀−𝑓𝑥_1 )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</xdr:col>
      <xdr:colOff>34017</xdr:colOff>
      <xdr:row>45</xdr:row>
      <xdr:rowOff>27214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ZoneTexte 42">
              <a:extLst>
                <a:ext uri="{FF2B5EF4-FFF2-40B4-BE49-F238E27FC236}">
                  <a16:creationId xmlns:a16="http://schemas.microsoft.com/office/drawing/2014/main" id="{7E942F8A-5824-46B2-A7AD-FAFB149D3ED9}"/>
                </a:ext>
              </a:extLst>
            </xdr:cNvPr>
            <xdr:cNvSpPr txBox="1"/>
          </xdr:nvSpPr>
          <xdr:spPr>
            <a:xfrm>
              <a:off x="796017" y="52088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𝐹𝐶𝐶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𝑀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43" name="ZoneTexte 42">
              <a:extLst>
                <a:ext uri="{FF2B5EF4-FFF2-40B4-BE49-F238E27FC236}">
                  <a16:creationId xmlns:a16="http://schemas.microsoft.com/office/drawing/2014/main" id="{7E942F8A-5824-46B2-A7AD-FAFB149D3ED9}"/>
                </a:ext>
              </a:extLst>
            </xdr:cNvPr>
            <xdr:cNvSpPr txBox="1"/>
          </xdr:nvSpPr>
          <xdr:spPr>
            <a:xfrm>
              <a:off x="796017" y="52088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𝐹𝐶𝐶, 𝑀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</xdr:col>
      <xdr:colOff>40821</xdr:colOff>
      <xdr:row>46</xdr:row>
      <xdr:rowOff>20410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ZoneTexte 43">
              <a:extLst>
                <a:ext uri="{FF2B5EF4-FFF2-40B4-BE49-F238E27FC236}">
                  <a16:creationId xmlns:a16="http://schemas.microsoft.com/office/drawing/2014/main" id="{55474228-7B03-498A-A841-5F292DD8AAB1}"/>
                </a:ext>
              </a:extLst>
            </xdr:cNvPr>
            <xdr:cNvSpPr txBox="1"/>
          </xdr:nvSpPr>
          <xdr:spPr>
            <a:xfrm>
              <a:off x="802821" y="53925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fr-FR" sz="1100" b="0" i="0">
                      <a:latin typeface="Cambria Math" panose="02040503050406030204" pitchFamily="18" charset="0"/>
                    </a:rPr>
                    <m:t>ans</m:t>
                  </m:r>
                  <m:r>
                    <a:rPr lang="fr-FR" sz="1100" b="0" i="0">
                      <a:latin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M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44" name="ZoneTexte 43">
              <a:extLst>
                <a:ext uri="{FF2B5EF4-FFF2-40B4-BE49-F238E27FC236}">
                  <a16:creationId xmlns:a16="http://schemas.microsoft.com/office/drawing/2014/main" id="{55474228-7B03-498A-A841-5F292DD8AAB1}"/>
                </a:ext>
              </a:extLst>
            </xdr:cNvPr>
            <xdr:cNvSpPr txBox="1"/>
          </xdr:nvSpPr>
          <xdr:spPr>
            <a:xfrm>
              <a:off x="802821" y="53925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:r>
                <a:rPr lang="fr-FR" sz="1100" b="0" i="0">
                  <a:latin typeface="Cambria Math" panose="02040503050406030204" pitchFamily="18" charset="0"/>
                </a:rPr>
                <a:t>ans 𝑋_𝑖</a:t>
              </a:r>
              <a:r>
                <a:rPr lang="fr-FR" sz="1100"/>
                <a:t>, M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</xdr:col>
      <xdr:colOff>6803</xdr:colOff>
      <xdr:row>48</xdr:row>
      <xdr:rowOff>6804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ZoneTexte 44">
              <a:extLst>
                <a:ext uri="{FF2B5EF4-FFF2-40B4-BE49-F238E27FC236}">
                  <a16:creationId xmlns:a16="http://schemas.microsoft.com/office/drawing/2014/main" id="{97406C01-E9C1-430E-9535-16AD0E6A3944}"/>
                </a:ext>
              </a:extLst>
            </xdr:cNvPr>
            <xdr:cNvSpPr txBox="1"/>
          </xdr:nvSpPr>
          <xdr:spPr>
            <a:xfrm>
              <a:off x="768803" y="57599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𝑀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45" name="ZoneTexte 44">
              <a:extLst>
                <a:ext uri="{FF2B5EF4-FFF2-40B4-BE49-F238E27FC236}">
                  <a16:creationId xmlns:a16="http://schemas.microsoft.com/office/drawing/2014/main" id="{97406C01-E9C1-430E-9535-16AD0E6A3944}"/>
                </a:ext>
              </a:extLst>
            </xdr:cNvPr>
            <xdr:cNvSpPr txBox="1"/>
          </xdr:nvSpPr>
          <xdr:spPr>
            <a:xfrm>
              <a:off x="768803" y="57599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−𝑥_1)/(𝑀−𝑓𝑥_1 )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</xdr:col>
      <xdr:colOff>34017</xdr:colOff>
      <xdr:row>52</xdr:row>
      <xdr:rowOff>27214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ZoneTexte 45">
              <a:extLst>
                <a:ext uri="{FF2B5EF4-FFF2-40B4-BE49-F238E27FC236}">
                  <a16:creationId xmlns:a16="http://schemas.microsoft.com/office/drawing/2014/main" id="{C9BFF4FA-AFEC-4C1A-A121-D0079801CE6C}"/>
                </a:ext>
              </a:extLst>
            </xdr:cNvPr>
            <xdr:cNvSpPr txBox="1"/>
          </xdr:nvSpPr>
          <xdr:spPr>
            <a:xfrm>
              <a:off x="796017" y="65423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𝐹𝐶𝐶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𝑀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46" name="ZoneTexte 45">
              <a:extLst>
                <a:ext uri="{FF2B5EF4-FFF2-40B4-BE49-F238E27FC236}">
                  <a16:creationId xmlns:a16="http://schemas.microsoft.com/office/drawing/2014/main" id="{C9BFF4FA-AFEC-4C1A-A121-D0079801CE6C}"/>
                </a:ext>
              </a:extLst>
            </xdr:cNvPr>
            <xdr:cNvSpPr txBox="1"/>
          </xdr:nvSpPr>
          <xdr:spPr>
            <a:xfrm>
              <a:off x="796017" y="65423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𝐹𝐶𝐶, 𝑀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</xdr:col>
      <xdr:colOff>40821</xdr:colOff>
      <xdr:row>53</xdr:row>
      <xdr:rowOff>20410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ZoneTexte 46">
              <a:extLst>
                <a:ext uri="{FF2B5EF4-FFF2-40B4-BE49-F238E27FC236}">
                  <a16:creationId xmlns:a16="http://schemas.microsoft.com/office/drawing/2014/main" id="{ABEB0BF1-1BC2-4DD4-9603-040780BE4F37}"/>
                </a:ext>
              </a:extLst>
            </xdr:cNvPr>
            <xdr:cNvSpPr txBox="1"/>
          </xdr:nvSpPr>
          <xdr:spPr>
            <a:xfrm>
              <a:off x="802821" y="6735535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fr-FR" sz="1100" b="0" i="0">
                      <a:latin typeface="Cambria Math" panose="02040503050406030204" pitchFamily="18" charset="0"/>
                    </a:rPr>
                    <m:t>ans</m:t>
                  </m:r>
                  <m:r>
                    <a:rPr lang="fr-FR" sz="1100" b="0" i="0">
                      <a:latin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M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47" name="ZoneTexte 46">
              <a:extLst>
                <a:ext uri="{FF2B5EF4-FFF2-40B4-BE49-F238E27FC236}">
                  <a16:creationId xmlns:a16="http://schemas.microsoft.com/office/drawing/2014/main" id="{ABEB0BF1-1BC2-4DD4-9603-040780BE4F37}"/>
                </a:ext>
              </a:extLst>
            </xdr:cNvPr>
            <xdr:cNvSpPr txBox="1"/>
          </xdr:nvSpPr>
          <xdr:spPr>
            <a:xfrm>
              <a:off x="802821" y="6735535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:r>
                <a:rPr lang="fr-FR" sz="1100" b="0" i="0">
                  <a:latin typeface="Cambria Math" panose="02040503050406030204" pitchFamily="18" charset="0"/>
                </a:rPr>
                <a:t>ans 𝑋_𝑖</a:t>
              </a:r>
              <a:r>
                <a:rPr lang="fr-FR" sz="1100"/>
                <a:t>, M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152400</xdr:colOff>
      <xdr:row>1</xdr:row>
      <xdr:rowOff>109537</xdr:rowOff>
    </xdr:from>
    <xdr:ext cx="424282" cy="1930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AEBF2A74-0916-4251-9FF0-A9CA80895BA4}"/>
                </a:ext>
              </a:extLst>
            </xdr:cNvPr>
            <xdr:cNvSpPr txBox="1"/>
          </xdr:nvSpPr>
          <xdr:spPr>
            <a:xfrm>
              <a:off x="3200400" y="309562"/>
              <a:ext cx="424282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𝑿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𝑿</m:t>
                        </m:r>
                      </m:e>
                    </m:acc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AEBF2A74-0916-4251-9FF0-A9CA80895BA4}"/>
                </a:ext>
              </a:extLst>
            </xdr:cNvPr>
            <xdr:cNvSpPr txBox="1"/>
          </xdr:nvSpPr>
          <xdr:spPr>
            <a:xfrm>
              <a:off x="3200400" y="309562"/>
              <a:ext cx="424282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𝑿−𝑿 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4</xdr:col>
      <xdr:colOff>180975</xdr:colOff>
      <xdr:row>1</xdr:row>
      <xdr:rowOff>109537</xdr:rowOff>
    </xdr:from>
    <xdr:ext cx="405111" cy="1930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9FB5AF97-0615-474D-9A96-21F6047EFC83}"/>
                </a:ext>
              </a:extLst>
            </xdr:cNvPr>
            <xdr:cNvSpPr txBox="1"/>
          </xdr:nvSpPr>
          <xdr:spPr>
            <a:xfrm>
              <a:off x="3990975" y="309562"/>
              <a:ext cx="405111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𝒀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9FB5AF97-0615-474D-9A96-21F6047EFC83}"/>
                </a:ext>
              </a:extLst>
            </xdr:cNvPr>
            <xdr:cNvSpPr txBox="1"/>
          </xdr:nvSpPr>
          <xdr:spPr>
            <a:xfrm>
              <a:off x="3990975" y="309562"/>
              <a:ext cx="405111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𝒀−𝒀 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5</xdr:col>
      <xdr:colOff>19050</xdr:colOff>
      <xdr:row>1</xdr:row>
      <xdr:rowOff>119062</xdr:rowOff>
    </xdr:from>
    <xdr:ext cx="1049966" cy="1930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A14858E2-5B67-4954-AFF5-8B599B3C2655}"/>
                </a:ext>
              </a:extLst>
            </xdr:cNvPr>
            <xdr:cNvSpPr txBox="1"/>
          </xdr:nvSpPr>
          <xdr:spPr>
            <a:xfrm>
              <a:off x="4591050" y="319087"/>
              <a:ext cx="1049966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𝑿</m:t>
                        </m:r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fr-FR" sz="1200" b="1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</m:acc>
                      </m:e>
                    </m:d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𝒀</m:t>
                        </m:r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fr-FR" sz="1200" b="1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𝒀</m:t>
                            </m:r>
                          </m:e>
                        </m:acc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A14858E2-5B67-4954-AFF5-8B599B3C2655}"/>
                </a:ext>
              </a:extLst>
            </xdr:cNvPr>
            <xdr:cNvSpPr txBox="1"/>
          </xdr:nvSpPr>
          <xdr:spPr>
            <a:xfrm>
              <a:off x="4591050" y="319087"/>
              <a:ext cx="1049966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(𝑿−𝑿 ̅ )(𝒀−𝒀 ̅ 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47625</xdr:colOff>
      <xdr:row>1</xdr:row>
      <xdr:rowOff>138112</xdr:rowOff>
    </xdr:from>
    <xdr:ext cx="625619" cy="1980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1DD96AB0-72EE-4506-9763-425CB25DD017}"/>
                </a:ext>
              </a:extLst>
            </xdr:cNvPr>
            <xdr:cNvSpPr txBox="1"/>
          </xdr:nvSpPr>
          <xdr:spPr>
            <a:xfrm>
              <a:off x="5772150" y="338137"/>
              <a:ext cx="625619" cy="1980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fr-FR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̅"/>
                                <m:ctrlPr>
                                  <a:rPr lang="fr-FR" sz="1200" b="1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fr-FR" sz="1200" b="1" i="1">
                                    <a:latin typeface="Cambria Math" panose="02040503050406030204" pitchFamily="18" charset="0"/>
                                  </a:rPr>
                                  <m:t>𝑿</m:t>
                                </m:r>
                              </m:e>
                            </m:acc>
                          </m:e>
                        </m:d>
                      </m:e>
                      <m:sup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1DD96AB0-72EE-4506-9763-425CB25DD017}"/>
                </a:ext>
              </a:extLst>
            </xdr:cNvPr>
            <xdr:cNvSpPr txBox="1"/>
          </xdr:nvSpPr>
          <xdr:spPr>
            <a:xfrm>
              <a:off x="5772150" y="338137"/>
              <a:ext cx="625619" cy="1980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(𝑿−𝑿 ̅ )^𝟐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</xdr:col>
      <xdr:colOff>209550</xdr:colOff>
      <xdr:row>14</xdr:row>
      <xdr:rowOff>9524</xdr:rowOff>
    </xdr:from>
    <xdr:ext cx="303282" cy="1930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5E846906-835E-4F27-88CE-CA438DB77885}"/>
                </a:ext>
              </a:extLst>
            </xdr:cNvPr>
            <xdr:cNvSpPr txBox="1"/>
          </xdr:nvSpPr>
          <xdr:spPr>
            <a:xfrm>
              <a:off x="1733550" y="2771774"/>
              <a:ext cx="303282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fr-FR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2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</m:oMath>
                </m:oMathPara>
              </a14:m>
              <a:endParaRPr lang="fr-FR" sz="1200"/>
            </a:p>
          </xdr:txBody>
        </xdr:sp>
      </mc:Choice>
      <mc:Fallback xmlns="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5E846906-835E-4F27-88CE-CA438DB77885}"/>
                </a:ext>
              </a:extLst>
            </xdr:cNvPr>
            <xdr:cNvSpPr txBox="1"/>
          </xdr:nvSpPr>
          <xdr:spPr>
            <a:xfrm>
              <a:off x="1733550" y="2771774"/>
              <a:ext cx="303282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0" i="0">
                  <a:latin typeface="Cambria Math" panose="02040503050406030204" pitchFamily="18" charset="0"/>
                </a:rPr>
                <a:t>𝑋 ̅</a:t>
              </a:r>
              <a:endParaRPr lang="fr-FR" sz="1200"/>
            </a:p>
          </xdr:txBody>
        </xdr:sp>
      </mc:Fallback>
    </mc:AlternateContent>
    <xdr:clientData/>
  </xdr:oneCellAnchor>
  <xdr:oneCellAnchor>
    <xdr:from>
      <xdr:col>2</xdr:col>
      <xdr:colOff>438150</xdr:colOff>
      <xdr:row>14</xdr:row>
      <xdr:rowOff>23812</xdr:rowOff>
    </xdr:from>
    <xdr:ext cx="125291" cy="1930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DAADB64A-DA9B-41A2-A8B2-4EB075807A4F}"/>
                </a:ext>
              </a:extLst>
            </xdr:cNvPr>
            <xdr:cNvSpPr txBox="1"/>
          </xdr:nvSpPr>
          <xdr:spPr>
            <a:xfrm>
              <a:off x="2724150" y="2786062"/>
              <a:ext cx="125291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fr-FR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200" b="0" i="1">
                            <a:latin typeface="Cambria Math" panose="02040503050406030204" pitchFamily="18" charset="0"/>
                          </a:rPr>
                          <m:t>𝑌</m:t>
                        </m:r>
                      </m:e>
                    </m:acc>
                  </m:oMath>
                </m:oMathPara>
              </a14:m>
              <a:endParaRPr lang="fr-FR" sz="1200"/>
            </a:p>
          </xdr:txBody>
        </xdr:sp>
      </mc:Choice>
      <mc:Fallback xmlns="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DAADB64A-DA9B-41A2-A8B2-4EB075807A4F}"/>
                </a:ext>
              </a:extLst>
            </xdr:cNvPr>
            <xdr:cNvSpPr txBox="1"/>
          </xdr:nvSpPr>
          <xdr:spPr>
            <a:xfrm>
              <a:off x="2724150" y="2786062"/>
              <a:ext cx="125291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0" i="0">
                  <a:latin typeface="Cambria Math" panose="02040503050406030204" pitchFamily="18" charset="0"/>
                </a:rPr>
                <a:t>𝑌 ̅</a:t>
              </a:r>
              <a:endParaRPr lang="fr-FR" sz="1200"/>
            </a:p>
          </xdr:txBody>
        </xdr:sp>
      </mc:Fallback>
    </mc:AlternateContent>
    <xdr:clientData/>
  </xdr:oneCellAnchor>
  <xdr:oneCellAnchor>
    <xdr:from>
      <xdr:col>8</xdr:col>
      <xdr:colOff>66675</xdr:colOff>
      <xdr:row>4</xdr:row>
      <xdr:rowOff>23812</xdr:rowOff>
    </xdr:from>
    <xdr:ext cx="811183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9D2CE5B9-C4E2-4790-BD05-625F7EB55798}"/>
                </a:ext>
              </a:extLst>
            </xdr:cNvPr>
            <xdr:cNvSpPr txBox="1"/>
          </xdr:nvSpPr>
          <xdr:spPr>
            <a:xfrm>
              <a:off x="7315200" y="814387"/>
              <a:ext cx="811183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𝒀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𝑨𝒙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𝑩</m:t>
                    </m:r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9D2CE5B9-C4E2-4790-BD05-625F7EB55798}"/>
                </a:ext>
              </a:extLst>
            </xdr:cNvPr>
            <xdr:cNvSpPr txBox="1"/>
          </xdr:nvSpPr>
          <xdr:spPr>
            <a:xfrm>
              <a:off x="7315200" y="814387"/>
              <a:ext cx="811183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𝒀=𝑨𝒙+𝑩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9</xdr:col>
      <xdr:colOff>47625</xdr:colOff>
      <xdr:row>9</xdr:row>
      <xdr:rowOff>14287</xdr:rowOff>
    </xdr:from>
    <xdr:ext cx="1034642" cy="1930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0B0EAA74-CC1E-4E34-B71C-EB765A86E47A}"/>
                </a:ext>
              </a:extLst>
            </xdr:cNvPr>
            <xdr:cNvSpPr txBox="1"/>
          </xdr:nvSpPr>
          <xdr:spPr>
            <a:xfrm>
              <a:off x="8058150" y="1785937"/>
              <a:ext cx="1034642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→ 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𝑩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=</m:t>
                    </m:r>
                    <m:acc>
                      <m:accPr>
                        <m:chr m:val="̅"/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𝒀</m:t>
                        </m:r>
                      </m:e>
                    </m:acc>
                    <m:r>
                      <a:rPr lang="fr-FR" sz="1200" b="1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𝑨</m:t>
                    </m:r>
                    <m:acc>
                      <m:accPr>
                        <m:chr m:val="̅"/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𝑿</m:t>
                        </m:r>
                      </m:e>
                    </m:acc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0B0EAA74-CC1E-4E34-B71C-EB765A86E47A}"/>
                </a:ext>
              </a:extLst>
            </xdr:cNvPr>
            <xdr:cNvSpPr txBox="1"/>
          </xdr:nvSpPr>
          <xdr:spPr>
            <a:xfrm>
              <a:off x="8058150" y="1785937"/>
              <a:ext cx="1034642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→ </a:t>
              </a:r>
              <a:r>
                <a:rPr lang="fr-FR" sz="1200" b="1" i="0">
                  <a:latin typeface="Cambria Math" panose="02040503050406030204" pitchFamily="18" charset="0"/>
                </a:rPr>
                <a:t>𝑩=𝒀 ̅−𝑨𝑿 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9</xdr:col>
      <xdr:colOff>209550</xdr:colOff>
      <xdr:row>5</xdr:row>
      <xdr:rowOff>171450</xdr:rowOff>
    </xdr:from>
    <xdr:ext cx="1049966" cy="1930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4A28F0FA-D8C6-45C3-AE58-1E6FE7912CBB}"/>
                </a:ext>
              </a:extLst>
            </xdr:cNvPr>
            <xdr:cNvSpPr txBox="1"/>
          </xdr:nvSpPr>
          <xdr:spPr>
            <a:xfrm>
              <a:off x="8220075" y="1162050"/>
              <a:ext cx="1049966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𝑿</m:t>
                        </m:r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fr-FR" sz="1200" b="1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</m:acc>
                      </m:e>
                    </m:d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𝒀</m:t>
                        </m:r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fr-FR" sz="1200" b="1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𝒀</m:t>
                            </m:r>
                          </m:e>
                        </m:acc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4A28F0FA-D8C6-45C3-AE58-1E6FE7912CBB}"/>
                </a:ext>
              </a:extLst>
            </xdr:cNvPr>
            <xdr:cNvSpPr txBox="1"/>
          </xdr:nvSpPr>
          <xdr:spPr>
            <a:xfrm>
              <a:off x="8220075" y="1162050"/>
              <a:ext cx="1049966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(𝑿−𝑿 ̅ )(𝒀−𝒀 ̅ 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9</xdr:col>
      <xdr:colOff>476250</xdr:colOff>
      <xdr:row>7</xdr:row>
      <xdr:rowOff>28575</xdr:rowOff>
    </xdr:from>
    <xdr:ext cx="625619" cy="1980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2604A99F-0B8E-46AB-8DBA-9D4A3F03287C}"/>
                </a:ext>
              </a:extLst>
            </xdr:cNvPr>
            <xdr:cNvSpPr txBox="1"/>
          </xdr:nvSpPr>
          <xdr:spPr>
            <a:xfrm>
              <a:off x="8486775" y="1409700"/>
              <a:ext cx="625619" cy="1980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fr-FR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̅"/>
                                <m:ctrlPr>
                                  <a:rPr lang="fr-FR" sz="1200" b="1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fr-FR" sz="1200" b="1" i="1">
                                    <a:latin typeface="Cambria Math" panose="02040503050406030204" pitchFamily="18" charset="0"/>
                                  </a:rPr>
                                  <m:t>𝑿</m:t>
                                </m:r>
                              </m:e>
                            </m:acc>
                          </m:e>
                        </m:d>
                      </m:e>
                      <m:sup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fr-FR" sz="1200" b="1"/>
            </a:p>
          </xdr:txBody>
        </xdr:sp>
      </mc:Choice>
      <mc:Fallback xmlns="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2604A99F-0B8E-46AB-8DBA-9D4A3F03287C}"/>
                </a:ext>
              </a:extLst>
            </xdr:cNvPr>
            <xdr:cNvSpPr txBox="1"/>
          </xdr:nvSpPr>
          <xdr:spPr>
            <a:xfrm>
              <a:off x="8486775" y="1409700"/>
              <a:ext cx="625619" cy="1980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(𝑿−𝑿 ̅ )^𝟐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10</xdr:col>
      <xdr:colOff>361949</xdr:colOff>
      <xdr:row>4</xdr:row>
      <xdr:rowOff>23812</xdr:rowOff>
    </xdr:from>
    <xdr:ext cx="1190625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81B35F8A-3684-44C6-99B6-757D452BFBDA}"/>
                </a:ext>
              </a:extLst>
            </xdr:cNvPr>
            <xdr:cNvSpPr txBox="1"/>
          </xdr:nvSpPr>
          <xdr:spPr>
            <a:xfrm>
              <a:off x="9134474" y="814387"/>
              <a:ext cx="1190625" cy="18960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</a:rPr>
                    <m:t>𝒀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=</m:t>
                  </m:r>
                </m:oMath>
              </a14:m>
              <a:r>
                <a:rPr lang="fr-FR" sz="1200" b="1"/>
                <a:t> 8,57X+35,18</a:t>
              </a:r>
            </a:p>
          </xdr:txBody>
        </xdr:sp>
      </mc:Choice>
      <mc:Fallback xmlns="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81B35F8A-3684-44C6-99B6-757D452BFBDA}"/>
                </a:ext>
              </a:extLst>
            </xdr:cNvPr>
            <xdr:cNvSpPr txBox="1"/>
          </xdr:nvSpPr>
          <xdr:spPr>
            <a:xfrm>
              <a:off x="9134474" y="814387"/>
              <a:ext cx="1190625" cy="18960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𝒀=</a:t>
              </a:r>
              <a:r>
                <a:rPr lang="fr-FR" sz="1200" b="1"/>
                <a:t> 8,57X+35,18</a:t>
              </a:r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6</xdr:row>
      <xdr:rowOff>80962</xdr:rowOff>
    </xdr:from>
    <xdr:ext cx="1051057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1AF8BEC8-C71D-6278-56B1-D79AB478E1B3}"/>
                </a:ext>
              </a:extLst>
            </xdr:cNvPr>
            <xdr:cNvSpPr txBox="1"/>
          </xdr:nvSpPr>
          <xdr:spPr>
            <a:xfrm>
              <a:off x="3057525" y="1223962"/>
              <a:ext cx="1051057" cy="22121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b="1" i="1">
                        <a:latin typeface="Cambria Math" panose="02040503050406030204" pitchFamily="18" charset="0"/>
                      </a:rPr>
                      <m:t>𝑿</m:t>
                    </m:r>
                    <m:r>
                      <a:rPr lang="fr-FR" sz="1400" b="1" i="1">
                        <a:latin typeface="Cambria Math" panose="02040503050406030204" pitchFamily="18" charset="0"/>
                      </a:rPr>
                      <m:t> → </m:t>
                    </m:r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𝜷</m:t>
                    </m:r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(</m:t>
                    </m:r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𝒏</m:t>
                    </m:r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,</m:t>
                    </m:r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𝒑</m:t>
                    </m:r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1AF8BEC8-C71D-6278-56B1-D79AB478E1B3}"/>
                </a:ext>
              </a:extLst>
            </xdr:cNvPr>
            <xdr:cNvSpPr txBox="1"/>
          </xdr:nvSpPr>
          <xdr:spPr>
            <a:xfrm>
              <a:off x="3057525" y="1223962"/>
              <a:ext cx="1051057" cy="22121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</a:rPr>
                <a:t>𝑿 </a:t>
              </a:r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→ 𝜷(𝒏,𝒑)</a:t>
              </a:r>
              <a:endParaRPr lang="fr-FR" sz="1400" b="1"/>
            </a:p>
          </xdr:txBody>
        </xdr:sp>
      </mc:Fallback>
    </mc:AlternateContent>
    <xdr:clientData/>
  </xdr:oneCellAnchor>
  <xdr:oneCellAnchor>
    <xdr:from>
      <xdr:col>6</xdr:col>
      <xdr:colOff>17585</xdr:colOff>
      <xdr:row>6</xdr:row>
      <xdr:rowOff>72902</xdr:rowOff>
    </xdr:from>
    <xdr:ext cx="1954189" cy="2342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659B50DB-75A9-243C-0CCC-F25B6662F7DA}"/>
                </a:ext>
              </a:extLst>
            </xdr:cNvPr>
            <xdr:cNvSpPr txBox="1"/>
          </xdr:nvSpPr>
          <xdr:spPr>
            <a:xfrm>
              <a:off x="4589585" y="1215902"/>
              <a:ext cx="1954189" cy="234231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400" b="1" i="1">
                      <a:latin typeface="Cambria Math" panose="02040503050406030204" pitchFamily="18" charset="0"/>
                    </a:rPr>
                    <m:t>𝑷</m:t>
                  </m:r>
                  <m:d>
                    <m:d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𝑿</m:t>
                      </m:r>
                      <m:r>
                        <a:rPr lang="fr-FR" sz="1400" b="1" i="1"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𝒌</m:t>
                      </m:r>
                    </m:e>
                  </m:d>
                  <m:r>
                    <a:rPr lang="fr-FR" sz="1400" b="1" i="1">
                      <a:latin typeface="Cambria Math" panose="02040503050406030204" pitchFamily="18" charset="0"/>
                    </a:rPr>
                    <m:t>= </m:t>
                  </m:r>
                  <m:sSubSup>
                    <m:sSubSup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fr-FR" sz="14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∁</m:t>
                      </m:r>
                    </m:e>
                    <m:sub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𝒏</m:t>
                      </m:r>
                    </m:sub>
                    <m:sup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bSup>
                </m:oMath>
              </a14:m>
              <a:r>
                <a:rPr lang="fr-FR" sz="1400" b="1"/>
                <a:t>*</a:t>
              </a:r>
              <a14:m>
                <m:oMath xmlns:m="http://schemas.openxmlformats.org/officeDocument/2006/math">
                  <m:sSup>
                    <m:sSup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𝒑</m:t>
                      </m:r>
                    </m:e>
                    <m:sup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p>
                </m:oMath>
              </a14:m>
              <a:r>
                <a:rPr lang="fr-FR" sz="1400" b="1"/>
                <a:t>*</a:t>
              </a:r>
              <a14:m>
                <m:oMath xmlns:m="http://schemas.openxmlformats.org/officeDocument/2006/math">
                  <m:sSup>
                    <m:sSup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𝒒</m:t>
                      </m:r>
                    </m:e>
                    <m:sup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𝒌</m:t>
                      </m:r>
                      <m:r>
                        <a:rPr lang="fr-FR" sz="14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𝟏</m:t>
                      </m:r>
                    </m:sup>
                  </m:sSup>
                </m:oMath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659B50DB-75A9-243C-0CCC-F25B6662F7DA}"/>
                </a:ext>
              </a:extLst>
            </xdr:cNvPr>
            <xdr:cNvSpPr txBox="1"/>
          </xdr:nvSpPr>
          <xdr:spPr>
            <a:xfrm>
              <a:off x="4589585" y="1215902"/>
              <a:ext cx="1954189" cy="234231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</a:rPr>
                <a:t>𝑷(𝑿=𝒌)= </a:t>
              </a:r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∁_</a:t>
              </a:r>
              <a:r>
                <a:rPr lang="fr-FR" sz="1400" b="1" i="0">
                  <a:latin typeface="Cambria Math" panose="02040503050406030204" pitchFamily="18" charset="0"/>
                </a:rPr>
                <a:t>𝒏^𝒌</a:t>
              </a:r>
              <a:r>
                <a:rPr lang="fr-FR" sz="1400" b="1"/>
                <a:t>*</a:t>
              </a:r>
              <a:r>
                <a:rPr lang="fr-FR" sz="1400" b="1" i="0">
                  <a:latin typeface="Cambria Math" panose="02040503050406030204" pitchFamily="18" charset="0"/>
                </a:rPr>
                <a:t>𝒑^𝒌</a:t>
              </a:r>
              <a:r>
                <a:rPr lang="fr-FR" sz="1400" b="1"/>
                <a:t>*</a:t>
              </a:r>
              <a:r>
                <a:rPr lang="fr-FR" sz="1400" b="1" i="0">
                  <a:latin typeface="Cambria Math" panose="02040503050406030204" pitchFamily="18" charset="0"/>
                </a:rPr>
                <a:t>𝒒^(𝒌−𝟏)</a:t>
              </a:r>
              <a:endParaRPr lang="fr-FR" sz="1400" b="1"/>
            </a:p>
          </xdr:txBody>
        </xdr:sp>
      </mc:Fallback>
    </mc:AlternateContent>
    <xdr:clientData/>
  </xdr:oneCellAnchor>
  <xdr:oneCellAnchor>
    <xdr:from>
      <xdr:col>11</xdr:col>
      <xdr:colOff>752475</xdr:colOff>
      <xdr:row>7</xdr:row>
      <xdr:rowOff>152400</xdr:rowOff>
    </xdr:from>
    <xdr:ext cx="259916" cy="2259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9FFA4442-4AF2-B83C-1152-329EEF39C66D}"/>
                </a:ext>
              </a:extLst>
            </xdr:cNvPr>
            <xdr:cNvSpPr txBox="1"/>
          </xdr:nvSpPr>
          <xdr:spPr>
            <a:xfrm>
              <a:off x="9134475" y="1485900"/>
              <a:ext cx="259916" cy="225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𝝈</m:t>
                    </m:r>
                  </m:oMath>
                </m:oMathPara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9FFA4442-4AF2-B83C-1152-329EEF39C66D}"/>
                </a:ext>
              </a:extLst>
            </xdr:cNvPr>
            <xdr:cNvSpPr txBox="1"/>
          </xdr:nvSpPr>
          <xdr:spPr>
            <a:xfrm>
              <a:off x="9134475" y="1485900"/>
              <a:ext cx="259916" cy="225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endParaRPr lang="fr-FR" sz="1400" b="1"/>
            </a:p>
          </xdr:txBody>
        </xdr:sp>
      </mc:Fallback>
    </mc:AlternateContent>
    <xdr:clientData/>
  </xdr:oneCellAnchor>
  <xdr:oneCellAnchor>
    <xdr:from>
      <xdr:col>8</xdr:col>
      <xdr:colOff>361950</xdr:colOff>
      <xdr:row>10</xdr:row>
      <xdr:rowOff>0</xdr:rowOff>
    </xdr:from>
    <xdr:ext cx="218393" cy="2342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81630234-55E0-41E8-81F0-9FB419B4E853}"/>
                </a:ext>
              </a:extLst>
            </xdr:cNvPr>
            <xdr:cNvSpPr txBox="1"/>
          </xdr:nvSpPr>
          <xdr:spPr>
            <a:xfrm>
              <a:off x="6753225" y="1905000"/>
              <a:ext cx="218393" cy="234231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fr-FR" sz="1400" b="1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fr-FR" sz="14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∁</m:t>
                        </m:r>
                      </m:e>
                      <m:sub>
                        <m:r>
                          <a:rPr lang="fr-FR" sz="1400" b="1" i="1">
                            <a:latin typeface="Cambria Math" panose="02040503050406030204" pitchFamily="18" charset="0"/>
                          </a:rPr>
                          <m:t>𝒏</m:t>
                        </m:r>
                      </m:sub>
                      <m:sup>
                        <m:r>
                          <a:rPr lang="fr-FR" sz="1400" b="1" i="1">
                            <a:latin typeface="Cambria Math" panose="02040503050406030204" pitchFamily="18" charset="0"/>
                          </a:rPr>
                          <m:t>𝒌</m:t>
                        </m:r>
                      </m:sup>
                    </m:sSubSup>
                  </m:oMath>
                </m:oMathPara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81630234-55E0-41E8-81F0-9FB419B4E853}"/>
                </a:ext>
              </a:extLst>
            </xdr:cNvPr>
            <xdr:cNvSpPr txBox="1"/>
          </xdr:nvSpPr>
          <xdr:spPr>
            <a:xfrm>
              <a:off x="6753225" y="1905000"/>
              <a:ext cx="218393" cy="234231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∁_</a:t>
              </a:r>
              <a:r>
                <a:rPr lang="fr-FR" sz="1400" b="1" i="0">
                  <a:latin typeface="Cambria Math" panose="02040503050406030204" pitchFamily="18" charset="0"/>
                </a:rPr>
                <a:t>𝒏^𝒌</a:t>
              </a:r>
              <a:endParaRPr lang="fr-FR" sz="1400" b="1"/>
            </a:p>
          </xdr:txBody>
        </xdr:sp>
      </mc:Fallback>
    </mc:AlternateContent>
    <xdr:clientData/>
  </xdr:oneCellAnchor>
  <xdr:oneCellAnchor>
    <xdr:from>
      <xdr:col>9</xdr:col>
      <xdr:colOff>676275</xdr:colOff>
      <xdr:row>9</xdr:row>
      <xdr:rowOff>180975</xdr:rowOff>
    </xdr:from>
    <xdr:ext cx="933910" cy="2342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EEF035DA-8E17-4149-BD54-D58AFEEA7098}"/>
                </a:ext>
              </a:extLst>
            </xdr:cNvPr>
            <xdr:cNvSpPr txBox="1"/>
          </xdr:nvSpPr>
          <xdr:spPr>
            <a:xfrm>
              <a:off x="7867650" y="1895475"/>
              <a:ext cx="933910" cy="234231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fr-FR" sz="14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∁</m:t>
                      </m:r>
                    </m:e>
                    <m:sub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𝒏</m:t>
                      </m:r>
                    </m:sub>
                    <m:sup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bSup>
                </m:oMath>
              </a14:m>
              <a:r>
                <a:rPr lang="fr-FR" sz="1400" b="1"/>
                <a:t>*</a:t>
              </a:r>
              <a14:m>
                <m:oMath xmlns:m="http://schemas.openxmlformats.org/officeDocument/2006/math">
                  <m:sSup>
                    <m:sSup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𝒑</m:t>
                      </m:r>
                    </m:e>
                    <m:sup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p>
                </m:oMath>
              </a14:m>
              <a:r>
                <a:rPr lang="fr-FR" sz="1400" b="1"/>
                <a:t>*</a:t>
              </a:r>
              <a14:m>
                <m:oMath xmlns:m="http://schemas.openxmlformats.org/officeDocument/2006/math">
                  <m:sSup>
                    <m:sSupPr>
                      <m:ctrlPr>
                        <a:rPr lang="fr-FR" sz="14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𝒒</m:t>
                      </m:r>
                    </m:e>
                    <m:sup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𝒌</m:t>
                      </m:r>
                      <m:r>
                        <a:rPr lang="fr-FR" sz="1400" b="1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400" b="1" i="1">
                          <a:latin typeface="Cambria Math" panose="02040503050406030204" pitchFamily="18" charset="0"/>
                        </a:rPr>
                        <m:t>𝟏</m:t>
                      </m:r>
                    </m:sup>
                  </m:sSup>
                </m:oMath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EEF035DA-8E17-4149-BD54-D58AFEEA7098}"/>
                </a:ext>
              </a:extLst>
            </xdr:cNvPr>
            <xdr:cNvSpPr txBox="1"/>
          </xdr:nvSpPr>
          <xdr:spPr>
            <a:xfrm>
              <a:off x="7867650" y="1895475"/>
              <a:ext cx="933910" cy="234231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∁_</a:t>
              </a:r>
              <a:r>
                <a:rPr lang="fr-FR" sz="1400" b="1" i="0">
                  <a:latin typeface="Cambria Math" panose="02040503050406030204" pitchFamily="18" charset="0"/>
                </a:rPr>
                <a:t>𝒏^𝒌</a:t>
              </a:r>
              <a:r>
                <a:rPr lang="fr-FR" sz="1400" b="1"/>
                <a:t>*</a:t>
              </a:r>
              <a:r>
                <a:rPr lang="fr-FR" sz="1400" b="1" i="0">
                  <a:latin typeface="Cambria Math" panose="02040503050406030204" pitchFamily="18" charset="0"/>
                </a:rPr>
                <a:t>𝒑^𝒌</a:t>
              </a:r>
              <a:r>
                <a:rPr lang="fr-FR" sz="1400" b="1"/>
                <a:t>*</a:t>
              </a:r>
              <a:r>
                <a:rPr lang="fr-FR" sz="1400" b="1" i="0">
                  <a:latin typeface="Cambria Math" panose="02040503050406030204" pitchFamily="18" charset="0"/>
                </a:rPr>
                <a:t>𝒒^(𝒌−𝟏)</a:t>
              </a:r>
              <a:endParaRPr lang="fr-FR" sz="1400" b="1"/>
            </a:p>
          </xdr:txBody>
        </xdr:sp>
      </mc:Fallback>
    </mc:AlternateContent>
    <xdr:clientData/>
  </xdr:oneCellAnchor>
  <xdr:oneCellAnchor>
    <xdr:from>
      <xdr:col>12</xdr:col>
      <xdr:colOff>19050</xdr:colOff>
      <xdr:row>10</xdr:row>
      <xdr:rowOff>9525</xdr:rowOff>
    </xdr:from>
    <xdr:ext cx="772904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696BDBEF-E51A-430E-89D0-D6E8053C8D3F}"/>
                </a:ext>
              </a:extLst>
            </xdr:cNvPr>
            <xdr:cNvSpPr txBox="1"/>
          </xdr:nvSpPr>
          <xdr:spPr>
            <a:xfrm>
              <a:off x="9239250" y="1924050"/>
              <a:ext cx="772904" cy="22121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b="1" i="1">
                        <a:latin typeface="Cambria Math" panose="02040503050406030204" pitchFamily="18" charset="0"/>
                      </a:rPr>
                      <m:t>𝑷</m:t>
                    </m:r>
                    <m:d>
                      <m:dPr>
                        <m:ctrlPr>
                          <a:rPr lang="fr-FR" sz="14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400" b="1" i="1">
                            <a:latin typeface="Cambria Math" panose="02040503050406030204" pitchFamily="18" charset="0"/>
                          </a:rPr>
                          <m:t>𝑿</m:t>
                        </m:r>
                        <m:r>
                          <a:rPr lang="fr-FR" sz="1400" b="1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fr-FR" sz="1400" b="1" i="1">
                            <a:latin typeface="Cambria Math" panose="02040503050406030204" pitchFamily="18" charset="0"/>
                          </a:rPr>
                          <m:t>𝒌</m:t>
                        </m:r>
                      </m:e>
                    </m:d>
                  </m:oMath>
                </m:oMathPara>
              </a14:m>
              <a:endParaRPr lang="fr-FR" sz="1400" b="1"/>
            </a:p>
          </xdr:txBody>
        </xdr:sp>
      </mc:Choice>
      <mc:Fallback xmlns="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696BDBEF-E51A-430E-89D0-D6E8053C8D3F}"/>
                </a:ext>
              </a:extLst>
            </xdr:cNvPr>
            <xdr:cNvSpPr txBox="1"/>
          </xdr:nvSpPr>
          <xdr:spPr>
            <a:xfrm>
              <a:off x="9239250" y="1924050"/>
              <a:ext cx="772904" cy="22121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1" i="0">
                  <a:latin typeface="Cambria Math" panose="02040503050406030204" pitchFamily="18" charset="0"/>
                </a:rPr>
                <a:t>𝑷(𝑿=𝒌)</a:t>
              </a:r>
              <a:endParaRPr lang="fr-FR" sz="14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EC546-E458-4719-A729-32A5AB10C7AB}">
  <sheetPr>
    <tabColor rgb="FFFF0000"/>
  </sheetPr>
  <dimension ref="A1"/>
  <sheetViews>
    <sheetView workbookViewId="0">
      <selection activeCell="D6" sqref="D6"/>
    </sheetView>
  </sheetViews>
  <sheetFormatPr baseColWidth="10" defaultRowHeight="15" x14ac:dyDescent="0.25"/>
  <sheetData>
    <row r="1" spans="1:1" x14ac:dyDescent="0.25">
      <c r="A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29B7-617D-4DCD-AF2F-EE72D1145E51}">
  <sheetPr>
    <tabColor theme="5" tint="-0.249977111117893"/>
  </sheetPr>
  <dimension ref="A1:R24"/>
  <sheetViews>
    <sheetView showGridLines="0" zoomScale="110" zoomScaleNormal="110" workbookViewId="0">
      <selection activeCell="H23" sqref="H23"/>
    </sheetView>
  </sheetViews>
  <sheetFormatPr baseColWidth="10" defaultRowHeight="15" x14ac:dyDescent="0.25"/>
  <cols>
    <col min="9" max="9" width="5.42578125" style="6" customWidth="1"/>
    <col min="16" max="16" width="2.5703125" customWidth="1"/>
    <col min="17" max="18" width="5.140625" customWidth="1"/>
  </cols>
  <sheetData>
    <row r="1" spans="1:18" ht="15.75" thickBot="1" x14ac:dyDescent="0.3"/>
    <row r="2" spans="1:18" ht="16.5" thickTop="1" thickBot="1" x14ac:dyDescent="0.3">
      <c r="A2" s="106" t="s">
        <v>80</v>
      </c>
      <c r="B2" s="107" t="s">
        <v>81</v>
      </c>
      <c r="C2" s="105"/>
      <c r="D2" s="107" t="s">
        <v>77</v>
      </c>
      <c r="E2" s="108" t="s">
        <v>87</v>
      </c>
      <c r="G2" s="259" t="s">
        <v>95</v>
      </c>
      <c r="H2" s="260"/>
      <c r="I2" s="261" t="s">
        <v>98</v>
      </c>
      <c r="J2" s="134"/>
      <c r="K2" s="265" t="s">
        <v>82</v>
      </c>
      <c r="L2" s="265"/>
      <c r="M2" s="265"/>
      <c r="N2" s="265"/>
      <c r="O2" s="266"/>
      <c r="Q2" t="s">
        <v>90</v>
      </c>
      <c r="R2">
        <f>+H3</f>
        <v>8</v>
      </c>
    </row>
    <row r="3" spans="1:18" ht="15.75" thickTop="1" x14ac:dyDescent="0.25">
      <c r="A3" s="124">
        <v>4</v>
      </c>
      <c r="B3" s="125">
        <v>6</v>
      </c>
      <c r="C3" s="125">
        <v>15</v>
      </c>
      <c r="D3" s="118">
        <f>+B3-A3</f>
        <v>2</v>
      </c>
      <c r="E3" s="119">
        <f>+C3/D3</f>
        <v>7.5</v>
      </c>
      <c r="G3" s="116" t="s">
        <v>90</v>
      </c>
      <c r="H3" s="119">
        <f>+A5</f>
        <v>8</v>
      </c>
      <c r="I3" s="262"/>
      <c r="J3" s="135"/>
      <c r="K3" s="267" t="s">
        <v>83</v>
      </c>
      <c r="L3" s="267"/>
      <c r="M3" s="267"/>
      <c r="N3" s="267"/>
      <c r="O3" s="268"/>
      <c r="Q3" t="s">
        <v>101</v>
      </c>
      <c r="R3">
        <f>+H6-H5</f>
        <v>5</v>
      </c>
    </row>
    <row r="4" spans="1:18" ht="15.75" thickBot="1" x14ac:dyDescent="0.3">
      <c r="A4" s="139">
        <v>6</v>
      </c>
      <c r="B4" s="137">
        <v>8</v>
      </c>
      <c r="C4" s="127">
        <v>40</v>
      </c>
      <c r="D4" s="120">
        <f t="shared" ref="D4:D8" si="0">+B4-A4</f>
        <v>2</v>
      </c>
      <c r="E4" s="141">
        <f t="shared" ref="E4:E8" si="1">+C4/D4</f>
        <v>20</v>
      </c>
      <c r="G4" s="115" t="s">
        <v>91</v>
      </c>
      <c r="H4" s="121">
        <f>+B5</f>
        <v>10</v>
      </c>
      <c r="I4" s="262"/>
      <c r="J4" s="135" t="s">
        <v>77</v>
      </c>
      <c r="K4" s="267" t="s">
        <v>88</v>
      </c>
      <c r="L4" s="267"/>
      <c r="M4" s="267"/>
      <c r="N4" s="267"/>
      <c r="O4" s="268"/>
      <c r="Q4" t="s">
        <v>102</v>
      </c>
      <c r="R4">
        <f>+H6-H7</f>
        <v>11</v>
      </c>
    </row>
    <row r="5" spans="1:18" ht="16.5" thickTop="1" thickBot="1" x14ac:dyDescent="0.3">
      <c r="A5" s="146">
        <v>8</v>
      </c>
      <c r="B5" s="147">
        <v>10</v>
      </c>
      <c r="C5" s="143">
        <v>50</v>
      </c>
      <c r="D5" s="140">
        <f t="shared" si="0"/>
        <v>2</v>
      </c>
      <c r="E5" s="142">
        <f t="shared" si="1"/>
        <v>25</v>
      </c>
      <c r="G5" s="115" t="s">
        <v>93</v>
      </c>
      <c r="H5" s="121">
        <f>+E4</f>
        <v>20</v>
      </c>
      <c r="I5" s="262"/>
      <c r="J5" s="148" t="s">
        <v>87</v>
      </c>
      <c r="K5" s="267"/>
      <c r="L5" s="267"/>
      <c r="M5" s="267"/>
      <c r="N5" s="267"/>
      <c r="O5" s="268"/>
      <c r="Q5" t="s">
        <v>103</v>
      </c>
      <c r="R5">
        <f>+H4-H3</f>
        <v>2</v>
      </c>
    </row>
    <row r="6" spans="1:18" ht="16.5" thickTop="1" thickBot="1" x14ac:dyDescent="0.3">
      <c r="A6" s="144">
        <v>10</v>
      </c>
      <c r="B6" s="145">
        <v>15</v>
      </c>
      <c r="C6" s="138">
        <v>70</v>
      </c>
      <c r="D6" s="136">
        <f t="shared" si="0"/>
        <v>5</v>
      </c>
      <c r="E6" s="119">
        <f t="shared" si="1"/>
        <v>14</v>
      </c>
      <c r="G6" s="115" t="s">
        <v>92</v>
      </c>
      <c r="H6" s="121">
        <f>+E5</f>
        <v>25</v>
      </c>
      <c r="I6" s="263"/>
      <c r="J6" s="269" t="s">
        <v>85</v>
      </c>
      <c r="K6" s="271" t="s">
        <v>100</v>
      </c>
      <c r="L6" s="272"/>
      <c r="M6" s="272"/>
      <c r="N6" s="272"/>
      <c r="O6" s="273"/>
    </row>
    <row r="7" spans="1:18" ht="16.5" thickTop="1" thickBot="1" x14ac:dyDescent="0.3">
      <c r="A7" s="124">
        <v>15</v>
      </c>
      <c r="B7" s="125">
        <v>20</v>
      </c>
      <c r="C7" s="125">
        <v>20</v>
      </c>
      <c r="D7" s="120">
        <f t="shared" si="0"/>
        <v>5</v>
      </c>
      <c r="E7" s="121">
        <f t="shared" si="1"/>
        <v>4</v>
      </c>
      <c r="G7" s="115" t="s">
        <v>94</v>
      </c>
      <c r="H7" s="121">
        <f>+E6</f>
        <v>14</v>
      </c>
      <c r="I7" s="263"/>
      <c r="J7" s="270"/>
      <c r="K7" s="274"/>
      <c r="L7" s="275"/>
      <c r="M7" s="275"/>
      <c r="N7" s="275"/>
      <c r="O7" s="276"/>
    </row>
    <row r="8" spans="1:18" ht="16.5" thickTop="1" thickBot="1" x14ac:dyDescent="0.3">
      <c r="A8" s="128">
        <v>20</v>
      </c>
      <c r="B8" s="129">
        <v>30</v>
      </c>
      <c r="C8" s="129">
        <v>5</v>
      </c>
      <c r="D8" s="122">
        <f t="shared" si="0"/>
        <v>10</v>
      </c>
      <c r="E8" s="123">
        <f t="shared" si="1"/>
        <v>0.5</v>
      </c>
      <c r="G8" s="58"/>
      <c r="H8" s="131"/>
      <c r="I8" s="264"/>
      <c r="J8" s="18" t="s">
        <v>86</v>
      </c>
      <c r="K8" s="132" t="s">
        <v>99</v>
      </c>
      <c r="L8" s="132"/>
      <c r="M8" s="132"/>
      <c r="N8" s="132"/>
      <c r="O8" s="133"/>
    </row>
    <row r="9" spans="1:18" ht="16.5" thickTop="1" thickBot="1" x14ac:dyDescent="0.3">
      <c r="A9" s="257" t="s">
        <v>84</v>
      </c>
      <c r="B9" s="258"/>
      <c r="C9" s="117">
        <f>SUM(C3:C8)</f>
        <v>200</v>
      </c>
    </row>
    <row r="10" spans="1:18" ht="15.75" thickTop="1" x14ac:dyDescent="0.25">
      <c r="G10" s="255" t="s">
        <v>89</v>
      </c>
      <c r="H10" s="255"/>
      <c r="I10" s="255"/>
      <c r="J10" s="255"/>
      <c r="K10" s="255"/>
      <c r="L10" s="130" t="s">
        <v>97</v>
      </c>
      <c r="M10" s="6"/>
      <c r="N10" s="6"/>
      <c r="O10" s="6"/>
    </row>
    <row r="11" spans="1:18" x14ac:dyDescent="0.25">
      <c r="G11" s="6"/>
      <c r="H11" s="6"/>
      <c r="J11" s="6"/>
      <c r="K11" s="6"/>
      <c r="L11" s="6"/>
      <c r="M11" s="6"/>
      <c r="N11" s="6"/>
      <c r="O11" s="6"/>
    </row>
    <row r="12" spans="1:18" x14ac:dyDescent="0.25">
      <c r="G12" s="6"/>
      <c r="H12" s="6"/>
      <c r="J12" s="6"/>
      <c r="K12" s="6"/>
      <c r="L12" s="256">
        <f>(R2)+((R3)/((R3)+(R4)))*R5</f>
        <v>8.625</v>
      </c>
      <c r="M12" s="6"/>
      <c r="N12" s="6"/>
      <c r="O12" s="6"/>
    </row>
    <row r="13" spans="1:18" x14ac:dyDescent="0.25">
      <c r="G13" s="6"/>
      <c r="H13" s="6"/>
      <c r="J13" s="6"/>
      <c r="K13" s="6"/>
      <c r="L13" s="256"/>
      <c r="M13" s="6"/>
      <c r="N13" s="6"/>
      <c r="O13" s="6"/>
    </row>
    <row r="15" spans="1:18" x14ac:dyDescent="0.25">
      <c r="O15" s="20"/>
    </row>
    <row r="16" spans="1:18" x14ac:dyDescent="0.25">
      <c r="O16" s="114"/>
    </row>
    <row r="24" spans="4:4" x14ac:dyDescent="0.25">
      <c r="D24" t="s">
        <v>96</v>
      </c>
    </row>
  </sheetData>
  <mergeCells count="11">
    <mergeCell ref="G10:K10"/>
    <mergeCell ref="L12:L13"/>
    <mergeCell ref="A9:B9"/>
    <mergeCell ref="G2:H2"/>
    <mergeCell ref="I2:I8"/>
    <mergeCell ref="K2:O2"/>
    <mergeCell ref="K3:O3"/>
    <mergeCell ref="K4:O4"/>
    <mergeCell ref="K5:O5"/>
    <mergeCell ref="J6:J7"/>
    <mergeCell ref="K6:O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B51AE-627E-476E-ADF1-B4861147FC54}">
  <sheetPr>
    <tabColor theme="9" tint="0.39997558519241921"/>
  </sheetPr>
  <dimension ref="A3:W37"/>
  <sheetViews>
    <sheetView showGridLines="0" zoomScaleNormal="100" workbookViewId="0">
      <selection activeCell="S23" sqref="S23"/>
    </sheetView>
  </sheetViews>
  <sheetFormatPr baseColWidth="10" defaultRowHeight="15" x14ac:dyDescent="0.25"/>
  <cols>
    <col min="3" max="3" width="16.140625" customWidth="1"/>
    <col min="4" max="11" width="9.28515625" customWidth="1"/>
    <col min="13" max="13" width="13.28515625" customWidth="1"/>
    <col min="14" max="14" width="2.5703125" customWidth="1"/>
    <col min="16" max="16" width="15.5703125" bestFit="1" customWidth="1"/>
    <col min="19" max="19" width="14.42578125" bestFit="1" customWidth="1"/>
  </cols>
  <sheetData>
    <row r="3" spans="1:2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23" x14ac:dyDescent="0.25">
      <c r="A4" s="218" t="s">
        <v>1</v>
      </c>
      <c r="B4" s="218"/>
      <c r="C4" t="s">
        <v>0</v>
      </c>
      <c r="P4" s="2">
        <f>SUM(nb_copie)</f>
        <v>80</v>
      </c>
      <c r="T4" s="219" t="s">
        <v>2</v>
      </c>
      <c r="U4" s="219"/>
      <c r="V4" s="219"/>
      <c r="W4" s="219"/>
    </row>
    <row r="5" spans="1:23" x14ac:dyDescent="0.25">
      <c r="A5" s="2">
        <v>0</v>
      </c>
      <c r="B5" s="2">
        <v>4</v>
      </c>
      <c r="C5" s="2">
        <v>10</v>
      </c>
      <c r="D5" s="4">
        <f>+C5</f>
        <v>10</v>
      </c>
      <c r="E5" s="12">
        <v>80</v>
      </c>
      <c r="F5" s="5">
        <f>+C5/$P$4*100</f>
        <v>12.5</v>
      </c>
      <c r="G5" s="5">
        <f>+F5</f>
        <v>12.5</v>
      </c>
      <c r="H5" s="19">
        <f>+G9</f>
        <v>100</v>
      </c>
      <c r="I5" s="4">
        <f>(+A5+B5)/2</f>
        <v>2</v>
      </c>
      <c r="J5" s="4">
        <f>+C5*I5</f>
        <v>20</v>
      </c>
      <c r="K5" s="4">
        <f>+I5-$S$28</f>
        <v>-7.75</v>
      </c>
      <c r="L5" s="16">
        <f>+K5^2</f>
        <v>60.0625</v>
      </c>
      <c r="M5" s="5">
        <f>+L5*C5</f>
        <v>600.625</v>
      </c>
      <c r="T5" s="219" t="s">
        <v>3</v>
      </c>
      <c r="U5" s="219"/>
      <c r="V5" s="219"/>
      <c r="W5" s="219"/>
    </row>
    <row r="6" spans="1:23" x14ac:dyDescent="0.25">
      <c r="A6" s="2">
        <v>4</v>
      </c>
      <c r="B6" s="2">
        <v>8</v>
      </c>
      <c r="C6" s="2">
        <v>15</v>
      </c>
      <c r="D6" s="4">
        <f>+D5+C6</f>
        <v>25</v>
      </c>
      <c r="E6" s="4">
        <f>+E5-C5</f>
        <v>70</v>
      </c>
      <c r="F6" s="5">
        <f t="shared" ref="F6:F9" si="0">+C6/$P$4*100</f>
        <v>18.75</v>
      </c>
      <c r="G6" s="5">
        <f>+G5+F6</f>
        <v>31.25</v>
      </c>
      <c r="H6" s="5">
        <f>+H5-F5</f>
        <v>87.5</v>
      </c>
      <c r="I6" s="4">
        <f t="shared" ref="I6:I9" si="1">(+A6+B6)/2</f>
        <v>6</v>
      </c>
      <c r="J6" s="4">
        <f t="shared" ref="J6:J9" si="2">+C6*I6</f>
        <v>90</v>
      </c>
      <c r="K6" s="4">
        <f t="shared" ref="K6:K9" si="3">+I6-$S$28</f>
        <v>-3.75</v>
      </c>
      <c r="L6" s="16">
        <f t="shared" ref="L6:L9" si="4">+K6^2</f>
        <v>14.0625</v>
      </c>
      <c r="M6" s="5">
        <f t="shared" ref="M6:M9" si="5">+L6*C6</f>
        <v>210.9375</v>
      </c>
      <c r="P6" s="3">
        <f>+P4/2</f>
        <v>40</v>
      </c>
      <c r="T6" s="219"/>
      <c r="U6" s="219"/>
      <c r="V6" s="219"/>
      <c r="W6" s="219"/>
    </row>
    <row r="7" spans="1:23" x14ac:dyDescent="0.25">
      <c r="A7" s="2">
        <v>8</v>
      </c>
      <c r="B7" s="2">
        <v>12</v>
      </c>
      <c r="C7" s="2">
        <v>30</v>
      </c>
      <c r="D7" s="4">
        <f t="shared" ref="D7:D9" si="6">+D6+C7</f>
        <v>55</v>
      </c>
      <c r="E7" s="4">
        <f t="shared" ref="E7:E9" si="7">+E6-C6</f>
        <v>55</v>
      </c>
      <c r="F7" s="5">
        <f t="shared" si="0"/>
        <v>37.5</v>
      </c>
      <c r="G7" s="5">
        <f t="shared" ref="G7:G9" si="8">+G6+F7</f>
        <v>68.75</v>
      </c>
      <c r="H7" s="5">
        <f t="shared" ref="H7:H9" si="9">+H6-F6</f>
        <v>68.75</v>
      </c>
      <c r="I7" s="4">
        <f t="shared" si="1"/>
        <v>10</v>
      </c>
      <c r="J7" s="4">
        <f t="shared" si="2"/>
        <v>300</v>
      </c>
      <c r="K7" s="4">
        <f t="shared" si="3"/>
        <v>0.25</v>
      </c>
      <c r="L7" s="16">
        <f t="shared" si="4"/>
        <v>6.25E-2</v>
      </c>
      <c r="M7" s="5">
        <f t="shared" si="5"/>
        <v>1.875</v>
      </c>
      <c r="T7" s="219"/>
      <c r="U7" s="219"/>
      <c r="V7" s="219"/>
      <c r="W7" s="219"/>
    </row>
    <row r="8" spans="1:23" x14ac:dyDescent="0.25">
      <c r="A8" s="2">
        <v>12</v>
      </c>
      <c r="B8" s="2">
        <v>16</v>
      </c>
      <c r="C8" s="2">
        <v>20</v>
      </c>
      <c r="D8" s="4">
        <f t="shared" si="6"/>
        <v>75</v>
      </c>
      <c r="E8" s="4">
        <f t="shared" si="7"/>
        <v>25</v>
      </c>
      <c r="F8" s="5">
        <f t="shared" si="0"/>
        <v>25</v>
      </c>
      <c r="G8" s="5">
        <f t="shared" si="8"/>
        <v>93.75</v>
      </c>
      <c r="H8" s="5">
        <f t="shared" si="9"/>
        <v>31.25</v>
      </c>
      <c r="I8" s="4">
        <f t="shared" si="1"/>
        <v>14</v>
      </c>
      <c r="J8" s="4">
        <f t="shared" si="2"/>
        <v>280</v>
      </c>
      <c r="K8" s="4">
        <f t="shared" si="3"/>
        <v>4.25</v>
      </c>
      <c r="L8" s="16">
        <f t="shared" si="4"/>
        <v>18.0625</v>
      </c>
      <c r="M8" s="5">
        <f t="shared" si="5"/>
        <v>361.25</v>
      </c>
      <c r="P8" s="2">
        <f>SUM(ni_ci)</f>
        <v>780</v>
      </c>
      <c r="T8" s="219"/>
      <c r="U8" s="219"/>
      <c r="V8" s="219"/>
      <c r="W8" s="219"/>
    </row>
    <row r="9" spans="1:23" x14ac:dyDescent="0.25">
      <c r="A9" s="2">
        <v>16</v>
      </c>
      <c r="B9" s="2">
        <v>20</v>
      </c>
      <c r="C9" s="2">
        <v>5</v>
      </c>
      <c r="D9" s="4">
        <f t="shared" si="6"/>
        <v>80</v>
      </c>
      <c r="E9" s="4">
        <f t="shared" si="7"/>
        <v>5</v>
      </c>
      <c r="F9" s="5">
        <f t="shared" si="0"/>
        <v>6.25</v>
      </c>
      <c r="G9" s="5">
        <f t="shared" si="8"/>
        <v>100</v>
      </c>
      <c r="H9" s="5">
        <f t="shared" si="9"/>
        <v>6.25</v>
      </c>
      <c r="I9" s="4">
        <f t="shared" si="1"/>
        <v>18</v>
      </c>
      <c r="J9" s="4">
        <f t="shared" si="2"/>
        <v>90</v>
      </c>
      <c r="K9" s="4">
        <f t="shared" si="3"/>
        <v>8.25</v>
      </c>
      <c r="L9" s="16">
        <f t="shared" si="4"/>
        <v>68.0625</v>
      </c>
      <c r="M9" s="5">
        <f t="shared" si="5"/>
        <v>340.3125</v>
      </c>
      <c r="T9" s="219"/>
      <c r="U9" s="219"/>
      <c r="V9" s="219"/>
      <c r="W9" s="219"/>
    </row>
    <row r="10" spans="1:23" x14ac:dyDescent="0.25">
      <c r="P10" s="12">
        <v>50</v>
      </c>
    </row>
    <row r="11" spans="1:23" x14ac:dyDescent="0.25">
      <c r="P11" s="6"/>
    </row>
    <row r="12" spans="1:23" x14ac:dyDescent="0.25">
      <c r="Q12" s="12">
        <f>SUM(ci_x_ni)</f>
        <v>1515</v>
      </c>
    </row>
    <row r="13" spans="1:23" x14ac:dyDescent="0.25">
      <c r="B13" s="6"/>
      <c r="C13" s="7"/>
      <c r="D13" s="6"/>
      <c r="E13" s="6"/>
      <c r="F13" s="6"/>
      <c r="G13" s="6"/>
      <c r="H13" s="6"/>
      <c r="I13" s="6"/>
      <c r="J13" s="6"/>
      <c r="K13" s="6"/>
    </row>
    <row r="14" spans="1:23" x14ac:dyDescent="0.25">
      <c r="O14" s="217" t="s">
        <v>4</v>
      </c>
      <c r="P14" s="217"/>
      <c r="Q14" s="217"/>
      <c r="R14" s="217"/>
      <c r="S14" s="217"/>
    </row>
    <row r="15" spans="1:23" x14ac:dyDescent="0.25">
      <c r="Q15" t="s">
        <v>5</v>
      </c>
      <c r="R15" s="8">
        <v>25</v>
      </c>
      <c r="S15" s="8">
        <v>55</v>
      </c>
      <c r="T15" s="11">
        <f>+S15-R15</f>
        <v>30</v>
      </c>
    </row>
    <row r="16" spans="1:23" x14ac:dyDescent="0.25">
      <c r="Q16" t="s">
        <v>5</v>
      </c>
      <c r="R16" s="8">
        <v>8</v>
      </c>
      <c r="S16" s="8">
        <v>12</v>
      </c>
      <c r="T16" s="11">
        <f>+S16-R16</f>
        <v>4</v>
      </c>
    </row>
    <row r="18" spans="15:20" x14ac:dyDescent="0.25">
      <c r="Q18" s="11">
        <f>+T16/T15</f>
        <v>0.13333333333333333</v>
      </c>
      <c r="R18" s="10">
        <f>+P6-R15</f>
        <v>15</v>
      </c>
      <c r="S18" s="9">
        <f>+Q18*R18+R16</f>
        <v>10</v>
      </c>
    </row>
    <row r="20" spans="15:20" x14ac:dyDescent="0.25">
      <c r="O20" s="217" t="s">
        <v>6</v>
      </c>
      <c r="P20" s="217"/>
      <c r="Q20" s="217"/>
      <c r="R20" s="217"/>
      <c r="S20" s="217"/>
    </row>
    <row r="21" spans="15:20" x14ac:dyDescent="0.25">
      <c r="Q21" t="s">
        <v>5</v>
      </c>
      <c r="R21" s="8">
        <v>31.3</v>
      </c>
      <c r="S21" s="8">
        <v>68.8</v>
      </c>
      <c r="T21" s="11">
        <f>+S21-R21</f>
        <v>37.5</v>
      </c>
    </row>
    <row r="22" spans="15:20" x14ac:dyDescent="0.25">
      <c r="Q22" t="s">
        <v>5</v>
      </c>
      <c r="R22" s="8">
        <v>8</v>
      </c>
      <c r="S22" s="8">
        <v>12</v>
      </c>
      <c r="T22" s="11">
        <f>+S22-R22</f>
        <v>4</v>
      </c>
    </row>
    <row r="24" spans="15:20" x14ac:dyDescent="0.25">
      <c r="Q24" s="11">
        <f>+T22/T21</f>
        <v>0.10666666666666667</v>
      </c>
      <c r="R24" s="11">
        <f>+P10-R21</f>
        <v>18.7</v>
      </c>
      <c r="S24" s="13">
        <f>+Q24*R24+R22</f>
        <v>9.9946666666666673</v>
      </c>
    </row>
    <row r="26" spans="15:20" x14ac:dyDescent="0.25">
      <c r="O26" s="217" t="s">
        <v>7</v>
      </c>
      <c r="P26" s="217"/>
      <c r="Q26" s="217"/>
      <c r="R26" s="217"/>
      <c r="S26" s="217"/>
    </row>
    <row r="28" spans="15:20" x14ac:dyDescent="0.25">
      <c r="S28" s="9">
        <f>+P8/P4</f>
        <v>9.75</v>
      </c>
    </row>
    <row r="30" spans="15:20" x14ac:dyDescent="0.25">
      <c r="O30" s="217" t="s">
        <v>8</v>
      </c>
      <c r="P30" s="217"/>
      <c r="Q30" s="217"/>
      <c r="R30" s="217"/>
      <c r="S30" s="217"/>
    </row>
    <row r="32" spans="15:20" x14ac:dyDescent="0.25">
      <c r="S32" s="14">
        <f>+Q12/P4</f>
        <v>18.9375</v>
      </c>
    </row>
    <row r="34" spans="15:19" x14ac:dyDescent="0.25">
      <c r="O34" s="217" t="s">
        <v>9</v>
      </c>
      <c r="P34" s="217"/>
      <c r="Q34" s="217"/>
      <c r="R34" s="217"/>
      <c r="S34" s="217"/>
    </row>
    <row r="35" spans="15:19" ht="15.75" thickBot="1" x14ac:dyDescent="0.3"/>
    <row r="36" spans="15:19" ht="16.5" thickTop="1" thickBot="1" x14ac:dyDescent="0.3">
      <c r="Q36" s="18" t="str">
        <f>IF(S36&lt;1.5,"Homogéne","Hétérogéne")</f>
        <v>Hétérogéne</v>
      </c>
      <c r="S36" s="15">
        <f>SQRT(S32)</f>
        <v>4.351723796382303</v>
      </c>
    </row>
    <row r="37" spans="15:19" ht="15.75" thickTop="1" x14ac:dyDescent="0.25"/>
  </sheetData>
  <mergeCells count="12">
    <mergeCell ref="O34:S34"/>
    <mergeCell ref="A4:B4"/>
    <mergeCell ref="T4:W4"/>
    <mergeCell ref="T5:W5"/>
    <mergeCell ref="T6:W6"/>
    <mergeCell ref="T7:W7"/>
    <mergeCell ref="T8:W8"/>
    <mergeCell ref="T9:W9"/>
    <mergeCell ref="O14:S14"/>
    <mergeCell ref="O20:S20"/>
    <mergeCell ref="O26:S26"/>
    <mergeCell ref="O30:S30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9F937-19FE-4F57-ACAD-B9AC3BC07F13}">
  <sheetPr>
    <tabColor theme="8" tint="0.39997558519241921"/>
  </sheetPr>
  <dimension ref="A2:W54"/>
  <sheetViews>
    <sheetView topLeftCell="A28" workbookViewId="0">
      <selection activeCell="E28" sqref="E28"/>
    </sheetView>
  </sheetViews>
  <sheetFormatPr baseColWidth="10" defaultRowHeight="15" x14ac:dyDescent="0.25"/>
  <cols>
    <col min="3" max="3" width="16.140625" customWidth="1"/>
    <col min="4" max="11" width="9.28515625" customWidth="1"/>
    <col min="13" max="13" width="13.28515625" customWidth="1"/>
    <col min="14" max="14" width="2.5703125" customWidth="1"/>
    <col min="16" max="16" width="15.5703125" bestFit="1" customWidth="1"/>
    <col min="19" max="19" width="14.42578125" bestFit="1" customWidth="1"/>
  </cols>
  <sheetData>
    <row r="2" spans="1:23" x14ac:dyDescent="0.25">
      <c r="A2" s="220" t="s">
        <v>10</v>
      </c>
      <c r="B2" s="220"/>
      <c r="F2" s="21" t="s">
        <v>13</v>
      </c>
    </row>
    <row r="3" spans="1:2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23" ht="15.75" thickBot="1" x14ac:dyDescent="0.3">
      <c r="A4" s="218" t="s">
        <v>1</v>
      </c>
      <c r="B4" s="218"/>
      <c r="C4" t="s">
        <v>0</v>
      </c>
      <c r="P4" s="2">
        <f>SUM(nb_copie)</f>
        <v>80</v>
      </c>
      <c r="Q4" t="s">
        <v>11</v>
      </c>
      <c r="T4" s="219" t="s">
        <v>2</v>
      </c>
      <c r="U4" s="219"/>
      <c r="V4" s="219"/>
      <c r="W4" s="219"/>
    </row>
    <row r="5" spans="1:23" ht="15.75" thickTop="1" x14ac:dyDescent="0.25">
      <c r="A5" s="30">
        <v>0</v>
      </c>
      <c r="B5" s="31">
        <v>8</v>
      </c>
      <c r="C5" s="32">
        <v>15</v>
      </c>
      <c r="D5" s="4">
        <f>+C5</f>
        <v>15</v>
      </c>
      <c r="E5" s="12">
        <v>80</v>
      </c>
      <c r="F5" s="22">
        <f>+C5/$P$4*100</f>
        <v>18.75</v>
      </c>
      <c r="G5" s="23">
        <f>+F5</f>
        <v>18.75</v>
      </c>
      <c r="H5" s="24">
        <f>+G9</f>
        <v>100</v>
      </c>
      <c r="I5" s="4">
        <f>(+A5+B5)/2</f>
        <v>4</v>
      </c>
      <c r="J5" s="4">
        <f>+C5*I5</f>
        <v>60</v>
      </c>
      <c r="K5" s="4">
        <f>+I5-$S$28</f>
        <v>-5.75</v>
      </c>
      <c r="L5" s="16">
        <f>+K5^2</f>
        <v>33.0625</v>
      </c>
      <c r="M5" s="5">
        <f>+L5*C5</f>
        <v>495.9375</v>
      </c>
      <c r="T5" s="219" t="s">
        <v>3</v>
      </c>
      <c r="U5" s="219"/>
      <c r="V5" s="219"/>
      <c r="W5" s="219"/>
    </row>
    <row r="6" spans="1:23" x14ac:dyDescent="0.25">
      <c r="A6" s="33">
        <v>8</v>
      </c>
      <c r="B6" s="2">
        <v>16</v>
      </c>
      <c r="C6" s="34">
        <v>24</v>
      </c>
      <c r="D6" s="4">
        <f>+D5+C6</f>
        <v>39</v>
      </c>
      <c r="E6" s="4">
        <f>+E5-C5</f>
        <v>65</v>
      </c>
      <c r="F6" s="25">
        <f t="shared" ref="F6:F9" si="0">+C6/$P$4*100</f>
        <v>30</v>
      </c>
      <c r="G6" s="5">
        <f>+G5+F6</f>
        <v>48.75</v>
      </c>
      <c r="H6" s="26">
        <f>+H5-F5</f>
        <v>81.25</v>
      </c>
      <c r="I6" s="4">
        <f t="shared" ref="I6:I9" si="1">(+A6+B6)/2</f>
        <v>12</v>
      </c>
      <c r="J6" s="4">
        <f t="shared" ref="J6:J9" si="2">+C6*I6</f>
        <v>288</v>
      </c>
      <c r="K6" s="4">
        <f t="shared" ref="K6:K9" si="3">+I6-$S$28</f>
        <v>2.25</v>
      </c>
      <c r="L6" s="16">
        <f t="shared" ref="L6:L9" si="4">+K6^2</f>
        <v>5.0625</v>
      </c>
      <c r="M6" s="5">
        <f t="shared" ref="M6:M9" si="5">+L6*C6</f>
        <v>121.5</v>
      </c>
      <c r="P6" s="3">
        <f>+P4/2</f>
        <v>40</v>
      </c>
      <c r="T6" s="219"/>
      <c r="U6" s="219"/>
      <c r="V6" s="219"/>
      <c r="W6" s="219"/>
    </row>
    <row r="7" spans="1:23" x14ac:dyDescent="0.25">
      <c r="A7" s="33">
        <v>16</v>
      </c>
      <c r="B7" s="2">
        <v>24</v>
      </c>
      <c r="C7" s="34">
        <v>14</v>
      </c>
      <c r="D7" s="4">
        <f t="shared" ref="D7:D9" si="6">+D6+C7</f>
        <v>53</v>
      </c>
      <c r="E7" s="4">
        <f t="shared" ref="E7:E9" si="7">+E6-C6</f>
        <v>41</v>
      </c>
      <c r="F7" s="25">
        <f t="shared" si="0"/>
        <v>17.5</v>
      </c>
      <c r="G7" s="5">
        <f t="shared" ref="G7:G9" si="8">+G6+F7</f>
        <v>66.25</v>
      </c>
      <c r="H7" s="26">
        <f t="shared" ref="H7:H9" si="9">+H6-F6</f>
        <v>51.25</v>
      </c>
      <c r="I7" s="4">
        <f t="shared" si="1"/>
        <v>20</v>
      </c>
      <c r="J7" s="4">
        <f t="shared" si="2"/>
        <v>280</v>
      </c>
      <c r="K7" s="4">
        <f t="shared" si="3"/>
        <v>10.25</v>
      </c>
      <c r="L7" s="16">
        <f t="shared" si="4"/>
        <v>105.0625</v>
      </c>
      <c r="M7" s="5">
        <f t="shared" si="5"/>
        <v>1470.875</v>
      </c>
      <c r="T7" s="219"/>
      <c r="U7" s="219"/>
      <c r="V7" s="219"/>
      <c r="W7" s="219"/>
    </row>
    <row r="8" spans="1:23" x14ac:dyDescent="0.25">
      <c r="A8" s="33">
        <v>24</v>
      </c>
      <c r="B8" s="2">
        <v>32</v>
      </c>
      <c r="C8" s="34">
        <v>18</v>
      </c>
      <c r="D8" s="4">
        <f t="shared" si="6"/>
        <v>71</v>
      </c>
      <c r="E8" s="4">
        <f t="shared" si="7"/>
        <v>27</v>
      </c>
      <c r="F8" s="25">
        <f t="shared" si="0"/>
        <v>22.5</v>
      </c>
      <c r="G8" s="5">
        <f t="shared" si="8"/>
        <v>88.75</v>
      </c>
      <c r="H8" s="26">
        <f t="shared" si="9"/>
        <v>33.75</v>
      </c>
      <c r="I8" s="4">
        <f t="shared" si="1"/>
        <v>28</v>
      </c>
      <c r="J8" s="4">
        <f t="shared" si="2"/>
        <v>504</v>
      </c>
      <c r="K8" s="4">
        <f t="shared" si="3"/>
        <v>18.25</v>
      </c>
      <c r="L8" s="16">
        <f t="shared" si="4"/>
        <v>333.0625</v>
      </c>
      <c r="M8" s="5">
        <f t="shared" si="5"/>
        <v>5995.125</v>
      </c>
      <c r="P8" s="2">
        <f>SUM(ni_ci)</f>
        <v>780</v>
      </c>
      <c r="T8" s="219"/>
      <c r="U8" s="219"/>
      <c r="V8" s="219"/>
      <c r="W8" s="219"/>
    </row>
    <row r="9" spans="1:23" ht="15.75" thickBot="1" x14ac:dyDescent="0.3">
      <c r="A9" s="35">
        <v>32</v>
      </c>
      <c r="B9" s="36">
        <v>40</v>
      </c>
      <c r="C9" s="37">
        <v>9</v>
      </c>
      <c r="D9" s="4">
        <f t="shared" si="6"/>
        <v>80</v>
      </c>
      <c r="E9" s="4">
        <f t="shared" si="7"/>
        <v>9</v>
      </c>
      <c r="F9" s="27">
        <f t="shared" si="0"/>
        <v>11.25</v>
      </c>
      <c r="G9" s="28">
        <f t="shared" si="8"/>
        <v>100</v>
      </c>
      <c r="H9" s="29">
        <f t="shared" si="9"/>
        <v>11.25</v>
      </c>
      <c r="I9" s="4">
        <f t="shared" si="1"/>
        <v>36</v>
      </c>
      <c r="J9" s="4">
        <f t="shared" si="2"/>
        <v>324</v>
      </c>
      <c r="K9" s="4">
        <f t="shared" si="3"/>
        <v>26.25</v>
      </c>
      <c r="L9" s="16">
        <f t="shared" si="4"/>
        <v>689.0625</v>
      </c>
      <c r="M9" s="5">
        <f t="shared" si="5"/>
        <v>6201.5625</v>
      </c>
      <c r="T9" s="219"/>
      <c r="U9" s="219"/>
      <c r="V9" s="219"/>
      <c r="W9" s="219"/>
    </row>
    <row r="10" spans="1:23" ht="15.75" thickTop="1" x14ac:dyDescent="0.25">
      <c r="P10" s="12">
        <v>50</v>
      </c>
    </row>
    <row r="11" spans="1:23" x14ac:dyDescent="0.25">
      <c r="P11" s="6"/>
    </row>
    <row r="12" spans="1:23" x14ac:dyDescent="0.25">
      <c r="Q12" s="12">
        <f>SUM(ci_x_ni)</f>
        <v>1515</v>
      </c>
    </row>
    <row r="13" spans="1:23" x14ac:dyDescent="0.25">
      <c r="B13" s="6"/>
      <c r="C13" s="7"/>
      <c r="D13" s="6"/>
      <c r="E13" s="6"/>
      <c r="F13" s="6"/>
      <c r="G13" s="6"/>
      <c r="H13" s="6"/>
      <c r="I13" s="6"/>
      <c r="J13" s="6"/>
      <c r="K13" s="6"/>
    </row>
    <row r="14" spans="1:23" x14ac:dyDescent="0.25">
      <c r="O14" s="217" t="s">
        <v>4</v>
      </c>
      <c r="P14" s="217"/>
      <c r="Q14" s="217"/>
      <c r="R14" s="217"/>
      <c r="S14" s="217"/>
    </row>
    <row r="15" spans="1:23" x14ac:dyDescent="0.25">
      <c r="Q15" t="s">
        <v>5</v>
      </c>
      <c r="R15" s="8">
        <v>39</v>
      </c>
      <c r="S15" s="8">
        <v>53</v>
      </c>
      <c r="T15" s="11">
        <f>+S15-R15</f>
        <v>14</v>
      </c>
    </row>
    <row r="16" spans="1:23" x14ac:dyDescent="0.25">
      <c r="Q16" t="s">
        <v>5</v>
      </c>
      <c r="R16" s="8">
        <v>16</v>
      </c>
      <c r="S16" s="42">
        <v>24</v>
      </c>
      <c r="T16" s="11">
        <f>+S16-R16</f>
        <v>8</v>
      </c>
    </row>
    <row r="18" spans="1:20" x14ac:dyDescent="0.25">
      <c r="K18">
        <f>12*65%</f>
        <v>7.8000000000000007</v>
      </c>
      <c r="Q18" s="11">
        <f>+T16/T15</f>
        <v>0.5714285714285714</v>
      </c>
      <c r="R18" s="10">
        <f>+P6-R15</f>
        <v>1</v>
      </c>
      <c r="S18" s="9">
        <f>+Q18*R18+R16</f>
        <v>16.571428571428573</v>
      </c>
    </row>
    <row r="20" spans="1:20" x14ac:dyDescent="0.25">
      <c r="A20" s="20" t="s">
        <v>12</v>
      </c>
      <c r="O20" s="217" t="s">
        <v>6</v>
      </c>
      <c r="P20" s="217"/>
      <c r="Q20" s="217"/>
      <c r="R20" s="217"/>
      <c r="S20" s="217"/>
    </row>
    <row r="21" spans="1:20" x14ac:dyDescent="0.25">
      <c r="A21" t="s">
        <v>15</v>
      </c>
      <c r="B21" t="s">
        <v>14</v>
      </c>
      <c r="Q21" t="s">
        <v>5</v>
      </c>
      <c r="R21" s="8">
        <v>48.8</v>
      </c>
      <c r="S21" s="8">
        <v>66.3</v>
      </c>
      <c r="T21" s="11">
        <f>+S21-R21</f>
        <v>17.5</v>
      </c>
    </row>
    <row r="22" spans="1:20" x14ac:dyDescent="0.25">
      <c r="Q22" t="s">
        <v>5</v>
      </c>
      <c r="R22" s="8">
        <v>16</v>
      </c>
      <c r="S22" s="8">
        <v>24</v>
      </c>
      <c r="T22" s="11">
        <f>+S22-R22</f>
        <v>8</v>
      </c>
    </row>
    <row r="23" spans="1:20" x14ac:dyDescent="0.25">
      <c r="A23" t="s">
        <v>27</v>
      </c>
      <c r="B23" t="s">
        <v>17</v>
      </c>
      <c r="C23" t="s">
        <v>18</v>
      </c>
      <c r="D23" t="s">
        <v>19</v>
      </c>
      <c r="E23" t="s">
        <v>20</v>
      </c>
    </row>
    <row r="24" spans="1:20" x14ac:dyDescent="0.25">
      <c r="B24" s="39">
        <v>0.25</v>
      </c>
      <c r="C24" s="38">
        <v>0.5</v>
      </c>
      <c r="D24" s="39">
        <v>0.75</v>
      </c>
      <c r="E24" s="38">
        <v>1</v>
      </c>
      <c r="Q24" s="11">
        <f>+T22/T21</f>
        <v>0.45714285714285713</v>
      </c>
      <c r="R24" s="11">
        <f>+$P$10-R21</f>
        <v>1.2000000000000028</v>
      </c>
      <c r="S24" s="13">
        <f>+Q24*R24+R22</f>
        <v>16.548571428571428</v>
      </c>
      <c r="T24" t="s">
        <v>16</v>
      </c>
    </row>
    <row r="25" spans="1:20" x14ac:dyDescent="0.25">
      <c r="B25">
        <v>25</v>
      </c>
      <c r="C25" s="40" t="s">
        <v>21</v>
      </c>
      <c r="D25">
        <v>75</v>
      </c>
      <c r="E25" s="1" t="s">
        <v>22</v>
      </c>
    </row>
    <row r="26" spans="1:20" x14ac:dyDescent="0.25">
      <c r="O26" s="217" t="s">
        <v>7</v>
      </c>
      <c r="P26" s="217"/>
      <c r="Q26" s="217"/>
      <c r="R26" s="217"/>
      <c r="S26" s="217"/>
    </row>
    <row r="27" spans="1:20" x14ac:dyDescent="0.25">
      <c r="B27" s="217" t="s">
        <v>23</v>
      </c>
      <c r="C27" s="217"/>
      <c r="D27" s="217"/>
      <c r="E27" s="217"/>
      <c r="F27" s="217"/>
      <c r="G27" t="s">
        <v>17</v>
      </c>
      <c r="H27">
        <v>25</v>
      </c>
    </row>
    <row r="28" spans="1:20" x14ac:dyDescent="0.25">
      <c r="D28" t="s">
        <v>5</v>
      </c>
      <c r="E28" s="8">
        <v>18.8</v>
      </c>
      <c r="F28" s="8">
        <v>48.8</v>
      </c>
      <c r="G28" s="11">
        <f>+F28-E28</f>
        <v>29.999999999999996</v>
      </c>
      <c r="S28" s="9">
        <f>+P8/P4</f>
        <v>9.75</v>
      </c>
    </row>
    <row r="29" spans="1:20" x14ac:dyDescent="0.25">
      <c r="D29" t="s">
        <v>5</v>
      </c>
      <c r="E29" s="8">
        <v>8</v>
      </c>
      <c r="F29" s="8">
        <v>16</v>
      </c>
      <c r="G29" s="11">
        <f>+F29-E29</f>
        <v>8</v>
      </c>
    </row>
    <row r="30" spans="1:20" x14ac:dyDescent="0.25">
      <c r="O30" s="217" t="s">
        <v>8</v>
      </c>
      <c r="P30" s="217"/>
      <c r="Q30" s="217"/>
      <c r="R30" s="217"/>
      <c r="S30" s="217"/>
    </row>
    <row r="31" spans="1:20" x14ac:dyDescent="0.25">
      <c r="D31" s="11">
        <f>+G29/G28</f>
        <v>0.26666666666666672</v>
      </c>
      <c r="E31" s="11">
        <f>+$B$25-E28</f>
        <v>6.1999999999999993</v>
      </c>
      <c r="F31" s="14">
        <f>+D31*E31+E29</f>
        <v>9.6533333333333342</v>
      </c>
      <c r="G31" t="s">
        <v>24</v>
      </c>
    </row>
    <row r="32" spans="1:20" x14ac:dyDescent="0.25">
      <c r="G32" t="s">
        <v>25</v>
      </c>
      <c r="S32" s="14">
        <f>+Q12/P4</f>
        <v>18.9375</v>
      </c>
    </row>
    <row r="34" spans="1:19" x14ac:dyDescent="0.25">
      <c r="B34" s="217" t="s">
        <v>23</v>
      </c>
      <c r="C34" s="217"/>
      <c r="D34" s="217"/>
      <c r="E34" s="217"/>
      <c r="F34" s="217"/>
      <c r="G34" t="s">
        <v>17</v>
      </c>
      <c r="H34">
        <v>25</v>
      </c>
      <c r="O34" s="217" t="s">
        <v>9</v>
      </c>
      <c r="P34" s="217"/>
      <c r="Q34" s="217"/>
      <c r="R34" s="217"/>
      <c r="S34" s="217"/>
    </row>
    <row r="35" spans="1:19" ht="15.75" thickBot="1" x14ac:dyDescent="0.3">
      <c r="D35" t="s">
        <v>5</v>
      </c>
      <c r="E35" s="8">
        <v>66.3</v>
      </c>
      <c r="F35" s="8">
        <v>88.8</v>
      </c>
      <c r="G35" s="11">
        <f>+F35-E35</f>
        <v>22.5</v>
      </c>
    </row>
    <row r="36" spans="1:19" ht="16.5" thickTop="1" thickBot="1" x14ac:dyDescent="0.3">
      <c r="D36" t="s">
        <v>5</v>
      </c>
      <c r="E36" s="8">
        <v>24</v>
      </c>
      <c r="F36" s="8">
        <v>32</v>
      </c>
      <c r="G36" s="11">
        <f>+F36-E36</f>
        <v>8</v>
      </c>
      <c r="Q36" s="18" t="str">
        <f>IF(S36&lt;1.5,"Homogéne","Hétérogéne")</f>
        <v>Hétérogéne</v>
      </c>
      <c r="S36" s="15">
        <f>SQRT(S32)</f>
        <v>4.351723796382303</v>
      </c>
    </row>
    <row r="37" spans="1:19" ht="15.75" thickTop="1" x14ac:dyDescent="0.25"/>
    <row r="38" spans="1:19" x14ac:dyDescent="0.25">
      <c r="D38" s="11">
        <f>+G36/G35</f>
        <v>0.35555555555555557</v>
      </c>
      <c r="E38" s="11">
        <f>+$D$25-E35</f>
        <v>8.7000000000000028</v>
      </c>
      <c r="F38" s="14">
        <f>+D38*E38+E36</f>
        <v>27.093333333333334</v>
      </c>
      <c r="G38" t="s">
        <v>24</v>
      </c>
    </row>
    <row r="39" spans="1:19" x14ac:dyDescent="0.25">
      <c r="G39" t="s">
        <v>25</v>
      </c>
    </row>
    <row r="41" spans="1:19" x14ac:dyDescent="0.25">
      <c r="A41" s="20" t="s">
        <v>26</v>
      </c>
      <c r="B41" t="s">
        <v>28</v>
      </c>
      <c r="C41" t="s">
        <v>29</v>
      </c>
      <c r="D41" s="41" t="s">
        <v>30</v>
      </c>
      <c r="E41" t="s">
        <v>31</v>
      </c>
      <c r="F41" t="s">
        <v>32</v>
      </c>
      <c r="G41" t="s">
        <v>33</v>
      </c>
      <c r="H41" t="s">
        <v>34</v>
      </c>
      <c r="I41" t="s">
        <v>35</v>
      </c>
      <c r="J41" t="s">
        <v>36</v>
      </c>
      <c r="K41" t="s">
        <v>37</v>
      </c>
    </row>
    <row r="42" spans="1:19" x14ac:dyDescent="0.25">
      <c r="B42" s="38">
        <v>0.1</v>
      </c>
      <c r="C42" s="38"/>
      <c r="D42" s="38"/>
      <c r="E42" s="38"/>
      <c r="F42" s="38"/>
      <c r="G42" s="38"/>
      <c r="H42" s="38"/>
      <c r="I42" s="38"/>
      <c r="J42" s="38"/>
      <c r="K42" s="38"/>
    </row>
    <row r="43" spans="1:19" x14ac:dyDescent="0.25">
      <c r="B43">
        <v>10</v>
      </c>
      <c r="C43">
        <f>+B43+10</f>
        <v>20</v>
      </c>
      <c r="D43" s="41">
        <f t="shared" ref="D43:K43" si="10">+C43+10</f>
        <v>30</v>
      </c>
      <c r="E43">
        <f t="shared" si="10"/>
        <v>40</v>
      </c>
      <c r="F43">
        <f t="shared" si="10"/>
        <v>50</v>
      </c>
      <c r="G43">
        <f t="shared" si="10"/>
        <v>60</v>
      </c>
      <c r="H43">
        <f t="shared" si="10"/>
        <v>70</v>
      </c>
      <c r="I43">
        <f t="shared" si="10"/>
        <v>80</v>
      </c>
      <c r="J43">
        <f t="shared" si="10"/>
        <v>90</v>
      </c>
      <c r="K43">
        <f t="shared" si="10"/>
        <v>100</v>
      </c>
    </row>
    <row r="45" spans="1:19" x14ac:dyDescent="0.25">
      <c r="B45" s="217" t="s">
        <v>23</v>
      </c>
      <c r="C45" s="217"/>
      <c r="D45" s="217"/>
      <c r="E45" s="217"/>
      <c r="F45" s="217"/>
    </row>
    <row r="46" spans="1:19" x14ac:dyDescent="0.25">
      <c r="D46" t="s">
        <v>5</v>
      </c>
      <c r="E46" s="8">
        <v>18.8</v>
      </c>
      <c r="F46" s="8">
        <v>48.8</v>
      </c>
      <c r="G46" s="11">
        <f>+F46-E46</f>
        <v>29.999999999999996</v>
      </c>
    </row>
    <row r="47" spans="1:19" x14ac:dyDescent="0.25">
      <c r="D47" t="s">
        <v>5</v>
      </c>
      <c r="E47" s="8">
        <v>8</v>
      </c>
      <c r="F47" s="8">
        <v>16</v>
      </c>
      <c r="G47" s="11">
        <f>+F47-E47</f>
        <v>8</v>
      </c>
    </row>
    <row r="49" spans="2:7" x14ac:dyDescent="0.25">
      <c r="D49" s="11">
        <f>+G47/G46</f>
        <v>0.26666666666666672</v>
      </c>
      <c r="E49" s="11">
        <f>+$D$43-E46</f>
        <v>11.2</v>
      </c>
      <c r="F49" s="14">
        <f>+D49*E49+E47</f>
        <v>10.986666666666668</v>
      </c>
      <c r="G49" t="s">
        <v>38</v>
      </c>
    </row>
    <row r="50" spans="2:7" x14ac:dyDescent="0.25">
      <c r="G50" t="s">
        <v>25</v>
      </c>
    </row>
    <row r="52" spans="2:7" x14ac:dyDescent="0.25">
      <c r="B52" s="217"/>
      <c r="C52" s="217"/>
      <c r="D52" s="217"/>
      <c r="E52" s="217"/>
      <c r="F52" s="217"/>
    </row>
    <row r="53" spans="2:7" x14ac:dyDescent="0.25">
      <c r="E53" s="8"/>
      <c r="F53" s="8"/>
      <c r="G53" s="11"/>
    </row>
    <row r="54" spans="2:7" x14ac:dyDescent="0.25">
      <c r="E54" s="8"/>
      <c r="F54" s="8"/>
      <c r="G54" s="11"/>
    </row>
  </sheetData>
  <mergeCells count="17">
    <mergeCell ref="O34:S34"/>
    <mergeCell ref="A4:B4"/>
    <mergeCell ref="T4:W4"/>
    <mergeCell ref="T5:W5"/>
    <mergeCell ref="T6:W6"/>
    <mergeCell ref="T7:W7"/>
    <mergeCell ref="T8:W8"/>
    <mergeCell ref="T9:W9"/>
    <mergeCell ref="O14:S14"/>
    <mergeCell ref="O20:S20"/>
    <mergeCell ref="O26:S26"/>
    <mergeCell ref="O30:S30"/>
    <mergeCell ref="A2:B2"/>
    <mergeCell ref="B27:F27"/>
    <mergeCell ref="B34:F34"/>
    <mergeCell ref="B45:F45"/>
    <mergeCell ref="B52:F52"/>
  </mergeCells>
  <phoneticPr fontId="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BF313-08F2-40C4-AE10-8DBF473F4F42}">
  <sheetPr>
    <tabColor theme="7" tint="0.39997558519241921"/>
  </sheetPr>
  <dimension ref="A1:P27"/>
  <sheetViews>
    <sheetView showGridLines="0" workbookViewId="0">
      <selection activeCell="P22" sqref="P22:P23"/>
    </sheetView>
  </sheetViews>
  <sheetFormatPr baseColWidth="10" defaultRowHeight="15" x14ac:dyDescent="0.25"/>
  <cols>
    <col min="4" max="4" width="12.85546875" customWidth="1"/>
    <col min="6" max="6" width="14.5703125" bestFit="1" customWidth="1"/>
  </cols>
  <sheetData>
    <row r="1" spans="1:16" ht="15.75" thickBot="1" x14ac:dyDescent="0.3">
      <c r="A1" t="s">
        <v>39</v>
      </c>
    </row>
    <row r="2" spans="1:16" ht="15.75" thickTop="1" x14ac:dyDescent="0.25">
      <c r="B2" s="221"/>
      <c r="C2" s="223">
        <v>2010</v>
      </c>
      <c r="D2" s="224"/>
      <c r="E2" s="224">
        <v>2015</v>
      </c>
      <c r="F2" s="224"/>
      <c r="G2" s="224">
        <v>2020</v>
      </c>
      <c r="H2" s="225"/>
      <c r="J2" s="221"/>
      <c r="K2" s="223" t="s">
        <v>48</v>
      </c>
      <c r="L2" s="224"/>
      <c r="M2" s="224" t="s">
        <v>49</v>
      </c>
      <c r="N2" s="224"/>
      <c r="O2" s="224" t="s">
        <v>50</v>
      </c>
      <c r="P2" s="225"/>
    </row>
    <row r="3" spans="1:16" ht="15.75" thickBot="1" x14ac:dyDescent="0.3">
      <c r="B3" s="222"/>
      <c r="C3" s="47" t="s">
        <v>43</v>
      </c>
      <c r="D3" s="48" t="s">
        <v>44</v>
      </c>
      <c r="E3" s="48" t="s">
        <v>43</v>
      </c>
      <c r="F3" s="48" t="s">
        <v>44</v>
      </c>
      <c r="G3" s="48" t="s">
        <v>43</v>
      </c>
      <c r="H3" s="49" t="s">
        <v>44</v>
      </c>
      <c r="J3" s="222"/>
      <c r="K3" s="47" t="s">
        <v>43</v>
      </c>
      <c r="L3" s="48" t="s">
        <v>44</v>
      </c>
      <c r="M3" s="48" t="s">
        <v>43</v>
      </c>
      <c r="N3" s="48" t="s">
        <v>44</v>
      </c>
      <c r="O3" s="48" t="s">
        <v>43</v>
      </c>
      <c r="P3" s="49" t="s">
        <v>44</v>
      </c>
    </row>
    <row r="4" spans="1:16" ht="15.75" thickTop="1" x14ac:dyDescent="0.25">
      <c r="B4" s="44" t="s">
        <v>40</v>
      </c>
      <c r="C4" s="78">
        <v>1000</v>
      </c>
      <c r="D4" s="52">
        <v>10</v>
      </c>
      <c r="E4" s="81">
        <v>1500</v>
      </c>
      <c r="F4" s="52">
        <v>10</v>
      </c>
      <c r="G4" s="81">
        <v>1200</v>
      </c>
      <c r="H4" s="55">
        <v>13</v>
      </c>
      <c r="J4" s="44" t="s">
        <v>45</v>
      </c>
      <c r="K4" s="93">
        <v>127.5</v>
      </c>
      <c r="L4" s="94">
        <v>118.3</v>
      </c>
      <c r="M4" s="95">
        <v>119.8</v>
      </c>
      <c r="N4" s="94">
        <v>87.4</v>
      </c>
      <c r="O4" s="96">
        <v>153.30000000000001</v>
      </c>
      <c r="P4" s="97">
        <v>101.7</v>
      </c>
    </row>
    <row r="5" spans="1:16" x14ac:dyDescent="0.25">
      <c r="B5" s="45" t="s">
        <v>41</v>
      </c>
      <c r="C5" s="79">
        <v>1500</v>
      </c>
      <c r="D5" s="53">
        <v>20</v>
      </c>
      <c r="E5" s="82">
        <v>1200</v>
      </c>
      <c r="F5" s="53">
        <v>30</v>
      </c>
      <c r="G5" s="82">
        <v>1500</v>
      </c>
      <c r="H5" s="56">
        <v>24</v>
      </c>
      <c r="J5" s="45" t="s">
        <v>46</v>
      </c>
      <c r="K5" s="98">
        <v>114.1</v>
      </c>
      <c r="L5" s="99">
        <v>105.9</v>
      </c>
      <c r="M5" s="100">
        <v>115.3</v>
      </c>
      <c r="N5" s="99">
        <v>84.1</v>
      </c>
      <c r="O5" s="100">
        <v>133.80000000000001</v>
      </c>
      <c r="P5" s="101">
        <v>88.7</v>
      </c>
    </row>
    <row r="6" spans="1:16" ht="15.75" thickBot="1" x14ac:dyDescent="0.3">
      <c r="B6" s="46" t="s">
        <v>42</v>
      </c>
      <c r="C6" s="80">
        <v>800</v>
      </c>
      <c r="D6" s="54">
        <v>25</v>
      </c>
      <c r="E6" s="83">
        <v>1500</v>
      </c>
      <c r="F6" s="54">
        <v>20</v>
      </c>
      <c r="G6" s="83">
        <v>2000</v>
      </c>
      <c r="H6" s="57">
        <v>15</v>
      </c>
      <c r="J6" s="92" t="s">
        <v>47</v>
      </c>
      <c r="K6" s="102">
        <f>SQRT(K4*K5)</f>
        <v>120.61405390749455</v>
      </c>
      <c r="L6" s="102">
        <f t="shared" ref="L6:P6" si="0">SQRT(L4*L5)</f>
        <v>111.92841462291871</v>
      </c>
      <c r="M6" s="102">
        <f t="shared" si="0"/>
        <v>117.52846463729541</v>
      </c>
      <c r="N6" s="102">
        <f t="shared" si="0"/>
        <v>85.734123894747995</v>
      </c>
      <c r="O6" s="102">
        <f t="shared" si="0"/>
        <v>143.21850439101786</v>
      </c>
      <c r="P6" s="103">
        <f t="shared" si="0"/>
        <v>94.977839520595538</v>
      </c>
    </row>
    <row r="7" spans="1:16" ht="16.5" thickTop="1" thickBot="1" x14ac:dyDescent="0.3"/>
    <row r="8" spans="1:16" ht="16.5" thickTop="1" thickBot="1" x14ac:dyDescent="0.3">
      <c r="B8" s="20" t="s">
        <v>45</v>
      </c>
      <c r="C8" s="20" t="s">
        <v>51</v>
      </c>
      <c r="D8" s="63" t="s">
        <v>40</v>
      </c>
      <c r="E8" s="64" t="s">
        <v>41</v>
      </c>
      <c r="F8" s="65" t="s">
        <v>42</v>
      </c>
      <c r="H8" s="20" t="s">
        <v>64</v>
      </c>
      <c r="I8" s="20" t="s">
        <v>51</v>
      </c>
      <c r="J8" s="63" t="s">
        <v>40</v>
      </c>
      <c r="K8" s="64" t="s">
        <v>41</v>
      </c>
      <c r="L8" s="65" t="s">
        <v>42</v>
      </c>
    </row>
    <row r="9" spans="1:16" ht="15.75" thickTop="1" x14ac:dyDescent="0.25">
      <c r="B9" s="226" t="s">
        <v>52</v>
      </c>
      <c r="C9" s="227"/>
      <c r="D9" s="68">
        <v>13</v>
      </c>
      <c r="E9" s="68">
        <v>24</v>
      </c>
      <c r="F9" s="69">
        <v>15</v>
      </c>
      <c r="G9" s="43"/>
      <c r="H9" s="226" t="s">
        <v>52</v>
      </c>
      <c r="I9" s="227"/>
      <c r="J9" s="68">
        <v>10</v>
      </c>
      <c r="K9" s="68">
        <v>30</v>
      </c>
      <c r="L9" s="69">
        <v>20</v>
      </c>
      <c r="M9" s="43"/>
    </row>
    <row r="10" spans="1:16" x14ac:dyDescent="0.25">
      <c r="B10" s="228" t="s">
        <v>53</v>
      </c>
      <c r="C10" s="229"/>
      <c r="D10" s="84">
        <v>1500</v>
      </c>
      <c r="E10" s="85">
        <v>1200</v>
      </c>
      <c r="F10" s="86">
        <v>1500</v>
      </c>
      <c r="H10" s="228" t="s">
        <v>61</v>
      </c>
      <c r="I10" s="229"/>
      <c r="J10" s="84">
        <v>1500</v>
      </c>
      <c r="K10" s="85">
        <v>1200</v>
      </c>
      <c r="L10" s="86">
        <v>1500</v>
      </c>
    </row>
    <row r="11" spans="1:16" x14ac:dyDescent="0.25">
      <c r="B11" s="230" t="s">
        <v>56</v>
      </c>
      <c r="C11" s="231"/>
      <c r="D11" s="90">
        <f>+D9*D10+E9*E10+F9*F10</f>
        <v>70800</v>
      </c>
      <c r="E11" s="90"/>
      <c r="F11" s="91"/>
      <c r="G11" s="50"/>
      <c r="H11" s="230" t="s">
        <v>66</v>
      </c>
      <c r="I11" s="231"/>
      <c r="J11" s="90">
        <f>+J9*J10+K9*K10+L9*L10</f>
        <v>81000</v>
      </c>
      <c r="K11" s="90"/>
      <c r="L11" s="91"/>
      <c r="M11" s="50"/>
      <c r="N11" s="50"/>
      <c r="O11" s="50"/>
      <c r="P11" s="50"/>
    </row>
    <row r="12" spans="1:16" x14ac:dyDescent="0.25">
      <c r="B12" s="232" t="s">
        <v>55</v>
      </c>
      <c r="C12" s="233"/>
      <c r="D12" s="71">
        <v>10</v>
      </c>
      <c r="E12" s="71">
        <v>30</v>
      </c>
      <c r="F12" s="72">
        <v>20</v>
      </c>
      <c r="G12" s="50"/>
      <c r="H12" s="232" t="s">
        <v>55</v>
      </c>
      <c r="I12" s="233"/>
      <c r="J12" s="71">
        <v>10</v>
      </c>
      <c r="K12" s="71">
        <v>20</v>
      </c>
      <c r="L12" s="72">
        <v>25</v>
      </c>
      <c r="M12" s="50"/>
      <c r="N12" s="50"/>
      <c r="O12" s="50"/>
      <c r="P12" s="50"/>
    </row>
    <row r="13" spans="1:16" x14ac:dyDescent="0.25">
      <c r="B13" s="234" t="s">
        <v>53</v>
      </c>
      <c r="C13" s="235"/>
      <c r="D13" s="85">
        <v>1500</v>
      </c>
      <c r="E13" s="85">
        <v>1200</v>
      </c>
      <c r="F13" s="87">
        <v>1500</v>
      </c>
      <c r="H13" s="234" t="s">
        <v>61</v>
      </c>
      <c r="I13" s="235"/>
      <c r="J13" s="85">
        <v>1500</v>
      </c>
      <c r="K13" s="85">
        <v>1200</v>
      </c>
      <c r="L13" s="87">
        <v>1500</v>
      </c>
      <c r="N13" s="50"/>
      <c r="O13" s="50"/>
      <c r="P13" s="50"/>
    </row>
    <row r="14" spans="1:16" x14ac:dyDescent="0.25">
      <c r="B14" s="244" t="s">
        <v>57</v>
      </c>
      <c r="C14" s="245"/>
      <c r="D14" s="61">
        <f>+D12*D13+E12*E13+F12*F13</f>
        <v>81000</v>
      </c>
      <c r="E14" s="59"/>
      <c r="F14" s="70"/>
      <c r="H14" s="244" t="s">
        <v>57</v>
      </c>
      <c r="I14" s="245"/>
      <c r="J14" s="61">
        <f>+J12*J13+K12*K13+L12*L13</f>
        <v>76500</v>
      </c>
      <c r="K14" s="59"/>
      <c r="L14" s="70"/>
    </row>
    <row r="15" spans="1:16" x14ac:dyDescent="0.25">
      <c r="B15" s="236" t="s">
        <v>58</v>
      </c>
      <c r="C15" s="237"/>
      <c r="D15" s="61">
        <f>+D11/D14</f>
        <v>0.87407407407407411</v>
      </c>
      <c r="E15" s="59"/>
      <c r="F15" s="70"/>
      <c r="H15" s="236" t="s">
        <v>58</v>
      </c>
      <c r="I15" s="237"/>
      <c r="J15" s="61">
        <f>+J11/J14</f>
        <v>1.0588235294117647</v>
      </c>
      <c r="K15" s="59"/>
      <c r="L15" s="70"/>
    </row>
    <row r="16" spans="1:16" ht="15.75" thickBot="1" x14ac:dyDescent="0.3">
      <c r="B16" s="238" t="s">
        <v>59</v>
      </c>
      <c r="C16" s="239"/>
      <c r="D16" s="62">
        <f>+D15*100</f>
        <v>87.407407407407405</v>
      </c>
      <c r="E16" s="60"/>
      <c r="F16" s="67">
        <f>+D16-100</f>
        <v>-12.592592592592595</v>
      </c>
      <c r="G16" t="s">
        <v>63</v>
      </c>
      <c r="H16" s="238" t="s">
        <v>59</v>
      </c>
      <c r="I16" s="239"/>
      <c r="J16" s="62">
        <f>+J15*100</f>
        <v>105.88235294117648</v>
      </c>
      <c r="K16" s="60"/>
      <c r="L16" s="67">
        <f>+J16-100</f>
        <v>5.8823529411764781</v>
      </c>
      <c r="M16" t="s">
        <v>63</v>
      </c>
    </row>
    <row r="17" spans="2:12" ht="16.5" thickTop="1" thickBot="1" x14ac:dyDescent="0.3">
      <c r="D17" s="51"/>
      <c r="E17" s="51"/>
      <c r="F17" s="51"/>
    </row>
    <row r="18" spans="2:12" ht="16.5" thickTop="1" thickBot="1" x14ac:dyDescent="0.3">
      <c r="B18" s="20" t="s">
        <v>45</v>
      </c>
      <c r="C18" s="20" t="s">
        <v>60</v>
      </c>
      <c r="D18" s="73" t="s">
        <v>40</v>
      </c>
      <c r="E18" s="74" t="s">
        <v>41</v>
      </c>
      <c r="F18" s="75" t="s">
        <v>42</v>
      </c>
      <c r="H18" s="20" t="s">
        <v>64</v>
      </c>
      <c r="I18" s="20" t="s">
        <v>65</v>
      </c>
      <c r="J18" s="73" t="s">
        <v>40</v>
      </c>
      <c r="K18" s="74" t="s">
        <v>41</v>
      </c>
      <c r="L18" s="75" t="s">
        <v>42</v>
      </c>
    </row>
    <row r="19" spans="2:12" ht="15.75" thickTop="1" x14ac:dyDescent="0.25">
      <c r="B19" s="240" t="s">
        <v>61</v>
      </c>
      <c r="C19" s="241"/>
      <c r="D19" s="88">
        <v>1200</v>
      </c>
      <c r="E19" s="88">
        <v>1500</v>
      </c>
      <c r="F19" s="89">
        <v>2000</v>
      </c>
      <c r="H19" s="240" t="s">
        <v>61</v>
      </c>
      <c r="I19" s="241"/>
      <c r="J19" s="88">
        <v>1500</v>
      </c>
      <c r="K19" s="88">
        <v>1200</v>
      </c>
      <c r="L19" s="89">
        <v>1500</v>
      </c>
    </row>
    <row r="20" spans="2:12" x14ac:dyDescent="0.25">
      <c r="B20" s="242" t="s">
        <v>54</v>
      </c>
      <c r="C20" s="243"/>
      <c r="D20" s="76">
        <v>10</v>
      </c>
      <c r="E20" s="71">
        <v>30</v>
      </c>
      <c r="F20" s="77">
        <v>20</v>
      </c>
      <c r="H20" s="242" t="s">
        <v>52</v>
      </c>
      <c r="I20" s="243"/>
      <c r="J20" s="76">
        <v>10</v>
      </c>
      <c r="K20" s="71">
        <v>30</v>
      </c>
      <c r="L20" s="77">
        <v>20</v>
      </c>
    </row>
    <row r="21" spans="2:12" x14ac:dyDescent="0.25">
      <c r="B21" s="230" t="s">
        <v>56</v>
      </c>
      <c r="C21" s="231"/>
      <c r="D21" s="90">
        <f>+D19*D20+E19*E20+F19*F20</f>
        <v>97000</v>
      </c>
      <c r="E21" s="90"/>
      <c r="F21" s="91"/>
      <c r="H21" s="230" t="s">
        <v>56</v>
      </c>
      <c r="I21" s="231"/>
      <c r="J21" s="90">
        <f>+J19*J20+K19*K20+L19*L20</f>
        <v>81000</v>
      </c>
      <c r="K21" s="90"/>
      <c r="L21" s="91"/>
    </row>
    <row r="22" spans="2:12" x14ac:dyDescent="0.25">
      <c r="B22" s="234" t="s">
        <v>62</v>
      </c>
      <c r="C22" s="235"/>
      <c r="D22" s="85">
        <v>1500</v>
      </c>
      <c r="E22" s="85">
        <v>1200</v>
      </c>
      <c r="F22" s="87">
        <v>1500</v>
      </c>
      <c r="H22" s="234" t="s">
        <v>62</v>
      </c>
      <c r="I22" s="235"/>
      <c r="J22" s="85">
        <v>1000</v>
      </c>
      <c r="K22" s="85">
        <v>1500</v>
      </c>
      <c r="L22" s="87">
        <v>800</v>
      </c>
    </row>
    <row r="23" spans="2:12" x14ac:dyDescent="0.25">
      <c r="B23" s="232" t="s">
        <v>55</v>
      </c>
      <c r="C23" s="233"/>
      <c r="D23" s="71">
        <v>10</v>
      </c>
      <c r="E23" s="71">
        <v>30</v>
      </c>
      <c r="F23" s="72">
        <v>20</v>
      </c>
      <c r="H23" s="232" t="s">
        <v>67</v>
      </c>
      <c r="I23" s="233"/>
      <c r="J23" s="71">
        <v>10</v>
      </c>
      <c r="K23" s="71">
        <v>30</v>
      </c>
      <c r="L23" s="72">
        <v>20</v>
      </c>
    </row>
    <row r="24" spans="2:12" x14ac:dyDescent="0.25">
      <c r="B24" s="244" t="s">
        <v>57</v>
      </c>
      <c r="C24" s="245"/>
      <c r="D24" s="61">
        <f>+D22*D23+E22*E23+F22*F23</f>
        <v>81000</v>
      </c>
      <c r="E24" s="59"/>
      <c r="F24" s="70"/>
      <c r="H24" s="244" t="s">
        <v>57</v>
      </c>
      <c r="I24" s="245"/>
      <c r="J24" s="61">
        <f>+J22*J23+K22*K23+L22*L23</f>
        <v>71000</v>
      </c>
      <c r="K24" s="59"/>
      <c r="L24" s="70"/>
    </row>
    <row r="25" spans="2:12" x14ac:dyDescent="0.25">
      <c r="B25" s="236" t="s">
        <v>58</v>
      </c>
      <c r="C25" s="237"/>
      <c r="D25" s="61">
        <f>+D21/D24</f>
        <v>1.1975308641975309</v>
      </c>
      <c r="E25" s="59"/>
      <c r="F25" s="70"/>
      <c r="H25" s="236" t="s">
        <v>58</v>
      </c>
      <c r="I25" s="237"/>
      <c r="J25" s="61">
        <f>+J21/J24</f>
        <v>1.1408450704225352</v>
      </c>
      <c r="K25" s="59"/>
      <c r="L25" s="70"/>
    </row>
    <row r="26" spans="2:12" ht="15.75" thickBot="1" x14ac:dyDescent="0.3">
      <c r="B26" s="238" t="s">
        <v>59</v>
      </c>
      <c r="C26" s="239"/>
      <c r="D26" s="62">
        <f>+D25*100</f>
        <v>119.75308641975309</v>
      </c>
      <c r="E26" s="60"/>
      <c r="F26" s="66">
        <f>+D26-100</f>
        <v>19.753086419753089</v>
      </c>
      <c r="G26" t="s">
        <v>63</v>
      </c>
      <c r="H26" s="238" t="s">
        <v>59</v>
      </c>
      <c r="I26" s="239"/>
      <c r="J26" s="62">
        <f>+J25*100</f>
        <v>114.08450704225352</v>
      </c>
      <c r="K26" s="60"/>
      <c r="L26" s="66">
        <f>+J26-100</f>
        <v>14.08450704225352</v>
      </c>
    </row>
    <row r="27" spans="2:12" ht="15.75" thickTop="1" x14ac:dyDescent="0.25"/>
  </sheetData>
  <mergeCells count="40">
    <mergeCell ref="H25:I25"/>
    <mergeCell ref="H26:I26"/>
    <mergeCell ref="H19:I19"/>
    <mergeCell ref="H20:I20"/>
    <mergeCell ref="H21:I21"/>
    <mergeCell ref="H22:I22"/>
    <mergeCell ref="H23:I23"/>
    <mergeCell ref="H24:I24"/>
    <mergeCell ref="H9:I9"/>
    <mergeCell ref="H10:I10"/>
    <mergeCell ref="H11:I11"/>
    <mergeCell ref="H12:I12"/>
    <mergeCell ref="H13:I13"/>
    <mergeCell ref="H14:I14"/>
    <mergeCell ref="H15:I15"/>
    <mergeCell ref="H16:I16"/>
    <mergeCell ref="B23:C23"/>
    <mergeCell ref="B24:C24"/>
    <mergeCell ref="B14:C14"/>
    <mergeCell ref="B25:C25"/>
    <mergeCell ref="B26:C26"/>
    <mergeCell ref="B15:C15"/>
    <mergeCell ref="B16:C16"/>
    <mergeCell ref="B19:C19"/>
    <mergeCell ref="B20:C20"/>
    <mergeCell ref="B21:C21"/>
    <mergeCell ref="B22:C22"/>
    <mergeCell ref="B9:C9"/>
    <mergeCell ref="B10:C10"/>
    <mergeCell ref="B11:C11"/>
    <mergeCell ref="B12:C12"/>
    <mergeCell ref="B13:C13"/>
    <mergeCell ref="B2:B3"/>
    <mergeCell ref="J2:J3"/>
    <mergeCell ref="K2:L2"/>
    <mergeCell ref="M2:N2"/>
    <mergeCell ref="O2:P2"/>
    <mergeCell ref="C2:D2"/>
    <mergeCell ref="E2:F2"/>
    <mergeCell ref="G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C1C6D-B38C-4047-AB7E-4DFA607B0E1C}">
  <sheetPr>
    <tabColor theme="6" tint="-0.249977111117893"/>
  </sheetPr>
  <dimension ref="A1:L22"/>
  <sheetViews>
    <sheetView showGridLines="0" workbookViewId="0">
      <selection activeCell="I31" sqref="I31"/>
    </sheetView>
  </sheetViews>
  <sheetFormatPr baseColWidth="10" defaultRowHeight="15" x14ac:dyDescent="0.25"/>
  <cols>
    <col min="1" max="1" width="40.42578125" style="112" customWidth="1"/>
  </cols>
  <sheetData>
    <row r="1" spans="1:12" ht="15.75" thickBot="1" x14ac:dyDescent="0.3">
      <c r="B1" s="254" t="s">
        <v>73</v>
      </c>
      <c r="C1" s="254"/>
      <c r="D1" s="254"/>
      <c r="E1" s="254"/>
      <c r="F1" s="254"/>
      <c r="G1" s="254"/>
      <c r="H1" s="254"/>
      <c r="I1" s="254"/>
      <c r="J1" s="254"/>
      <c r="K1" s="254"/>
    </row>
    <row r="2" spans="1:12" ht="16.5" thickTop="1" thickBot="1" x14ac:dyDescent="0.3">
      <c r="B2" s="106">
        <v>2010</v>
      </c>
      <c r="C2" s="107">
        <v>2015</v>
      </c>
      <c r="D2" s="108">
        <v>2020</v>
      </c>
      <c r="E2" s="108"/>
      <c r="F2" s="108"/>
      <c r="G2" s="108"/>
      <c r="H2" s="108"/>
      <c r="I2" s="108"/>
      <c r="J2" s="108"/>
      <c r="K2" s="108"/>
    </row>
    <row r="3" spans="1:12" ht="16.5" thickTop="1" thickBot="1" x14ac:dyDescent="0.3">
      <c r="B3" s="109">
        <v>0.6</v>
      </c>
      <c r="C3" s="110">
        <v>-0.4</v>
      </c>
      <c r="D3" s="111">
        <v>0.08</v>
      </c>
      <c r="E3" s="111"/>
      <c r="F3" s="111"/>
      <c r="G3" s="111"/>
      <c r="H3" s="111"/>
      <c r="I3" s="111"/>
      <c r="J3" s="111"/>
      <c r="K3" s="111"/>
    </row>
    <row r="4" spans="1:12" ht="15.75" thickTop="1" x14ac:dyDescent="0.25">
      <c r="B4" s="16">
        <f>+B3</f>
        <v>0.6</v>
      </c>
      <c r="C4" s="16">
        <f t="shared" ref="C4:K4" si="0">+C3</f>
        <v>-0.4</v>
      </c>
      <c r="D4" s="16">
        <f t="shared" si="0"/>
        <v>0.08</v>
      </c>
      <c r="E4" s="16">
        <f t="shared" si="0"/>
        <v>0</v>
      </c>
      <c r="F4" s="16">
        <f t="shared" si="0"/>
        <v>0</v>
      </c>
      <c r="G4" s="16">
        <f t="shared" si="0"/>
        <v>0</v>
      </c>
      <c r="H4" s="16">
        <f t="shared" si="0"/>
        <v>0</v>
      </c>
      <c r="I4" s="16">
        <f t="shared" si="0"/>
        <v>0</v>
      </c>
      <c r="J4" s="16">
        <f t="shared" si="0"/>
        <v>0</v>
      </c>
      <c r="K4" s="16">
        <f t="shared" si="0"/>
        <v>0</v>
      </c>
    </row>
    <row r="5" spans="1:12" x14ac:dyDescent="0.25">
      <c r="A5" s="113" t="s">
        <v>70</v>
      </c>
      <c r="B5" s="16">
        <f>1+B4</f>
        <v>1.6</v>
      </c>
      <c r="C5" s="16">
        <f t="shared" ref="C5:K5" si="1">1+C4</f>
        <v>0.6</v>
      </c>
      <c r="D5" s="16">
        <f t="shared" si="1"/>
        <v>1.08</v>
      </c>
      <c r="E5" s="16">
        <f t="shared" si="1"/>
        <v>1</v>
      </c>
      <c r="F5" s="16">
        <f t="shared" si="1"/>
        <v>1</v>
      </c>
      <c r="G5" s="16">
        <f t="shared" si="1"/>
        <v>1</v>
      </c>
      <c r="H5" s="16">
        <f t="shared" si="1"/>
        <v>1</v>
      </c>
      <c r="I5" s="16">
        <f t="shared" si="1"/>
        <v>1</v>
      </c>
      <c r="J5" s="16">
        <f t="shared" si="1"/>
        <v>1</v>
      </c>
      <c r="K5" s="16">
        <f t="shared" si="1"/>
        <v>1</v>
      </c>
    </row>
    <row r="6" spans="1:12" x14ac:dyDescent="0.25">
      <c r="A6" s="112" t="s">
        <v>68</v>
      </c>
      <c r="B6" s="246">
        <f>+B5*C5*D5*E5*F5*G5*H5*I5*J5*K5</f>
        <v>1.0367999999999999</v>
      </c>
      <c r="C6" s="246"/>
      <c r="D6" s="246"/>
      <c r="E6" s="246"/>
      <c r="F6" s="246"/>
      <c r="G6" s="246"/>
      <c r="H6" s="246"/>
      <c r="I6" s="246"/>
      <c r="J6" s="246"/>
      <c r="K6" s="246"/>
    </row>
    <row r="7" spans="1:12" x14ac:dyDescent="0.25">
      <c r="A7" s="113" t="s">
        <v>71</v>
      </c>
      <c r="B7" s="253">
        <f>+B6-1</f>
        <v>3.6799999999999944E-2</v>
      </c>
      <c r="C7" s="253"/>
      <c r="D7" s="253"/>
      <c r="E7" s="253"/>
      <c r="F7" s="253"/>
      <c r="G7" s="253"/>
      <c r="H7" s="253"/>
      <c r="I7" s="253"/>
      <c r="J7" s="253"/>
      <c r="K7" s="253"/>
    </row>
    <row r="8" spans="1:12" x14ac:dyDescent="0.25">
      <c r="A8" s="112" t="s">
        <v>69</v>
      </c>
      <c r="B8" s="249">
        <f>+B7</f>
        <v>3.6799999999999944E-2</v>
      </c>
      <c r="C8" s="249"/>
      <c r="D8" s="249"/>
      <c r="E8" s="249"/>
      <c r="F8" s="249"/>
      <c r="G8" s="249"/>
      <c r="H8" s="249"/>
      <c r="I8" s="249"/>
      <c r="J8" s="249"/>
      <c r="K8" s="249"/>
    </row>
    <row r="11" spans="1:12" ht="15.75" thickBot="1" x14ac:dyDescent="0.3">
      <c r="B11" s="254" t="s">
        <v>74</v>
      </c>
      <c r="C11" s="254"/>
      <c r="D11" s="254"/>
      <c r="E11" s="254"/>
      <c r="F11" s="254"/>
      <c r="G11" s="254"/>
      <c r="H11" s="254"/>
      <c r="I11" s="254"/>
      <c r="J11" s="254"/>
      <c r="K11" s="254"/>
    </row>
    <row r="12" spans="1:12" ht="16.5" thickTop="1" thickBot="1" x14ac:dyDescent="0.3">
      <c r="B12" s="106">
        <v>2010</v>
      </c>
      <c r="C12" s="107">
        <v>2015</v>
      </c>
      <c r="D12" s="108">
        <v>2020</v>
      </c>
      <c r="E12" s="108"/>
      <c r="F12" s="108"/>
      <c r="G12" s="108"/>
      <c r="H12" s="108"/>
      <c r="I12" s="108"/>
      <c r="J12" s="108"/>
      <c r="K12" s="108"/>
      <c r="L12" s="8" t="s">
        <v>75</v>
      </c>
    </row>
    <row r="13" spans="1:12" ht="16.5" thickTop="1" thickBot="1" x14ac:dyDescent="0.3">
      <c r="B13" s="109">
        <v>0.6</v>
      </c>
      <c r="C13" s="110">
        <v>-0.4</v>
      </c>
      <c r="D13" s="111">
        <v>0.08</v>
      </c>
      <c r="E13" s="111"/>
      <c r="F13" s="111"/>
      <c r="G13" s="111"/>
      <c r="H13" s="111"/>
      <c r="I13" s="111"/>
      <c r="J13" s="111"/>
      <c r="K13" s="111"/>
      <c r="L13" s="104">
        <f>COUNTA(B13:K13)</f>
        <v>3</v>
      </c>
    </row>
    <row r="14" spans="1:12" ht="15.75" thickTop="1" x14ac:dyDescent="0.25">
      <c r="B14" s="16">
        <f>+B13</f>
        <v>0.6</v>
      </c>
      <c r="C14" s="16">
        <f t="shared" ref="C14:K14" si="2">+C13</f>
        <v>-0.4</v>
      </c>
      <c r="D14" s="16">
        <f t="shared" si="2"/>
        <v>0.08</v>
      </c>
      <c r="E14" s="16">
        <f t="shared" si="2"/>
        <v>0</v>
      </c>
      <c r="F14" s="16">
        <f t="shared" si="2"/>
        <v>0</v>
      </c>
      <c r="G14" s="16">
        <f t="shared" si="2"/>
        <v>0</v>
      </c>
      <c r="H14" s="16">
        <f t="shared" si="2"/>
        <v>0</v>
      </c>
      <c r="I14" s="16">
        <f t="shared" si="2"/>
        <v>0</v>
      </c>
      <c r="J14" s="16">
        <f t="shared" si="2"/>
        <v>0</v>
      </c>
      <c r="K14" s="16">
        <f t="shared" si="2"/>
        <v>0</v>
      </c>
    </row>
    <row r="15" spans="1:12" x14ac:dyDescent="0.25">
      <c r="A15" s="113" t="s">
        <v>70</v>
      </c>
      <c r="B15" s="16">
        <f>1+B14</f>
        <v>1.6</v>
      </c>
      <c r="C15" s="16">
        <f t="shared" ref="C15:K15" si="3">1+C14</f>
        <v>0.6</v>
      </c>
      <c r="D15" s="16">
        <f t="shared" si="3"/>
        <v>1.08</v>
      </c>
      <c r="E15" s="16">
        <f t="shared" si="3"/>
        <v>1</v>
      </c>
      <c r="F15" s="16">
        <f t="shared" si="3"/>
        <v>1</v>
      </c>
      <c r="G15" s="16">
        <f t="shared" si="3"/>
        <v>1</v>
      </c>
      <c r="H15" s="16">
        <f t="shared" si="3"/>
        <v>1</v>
      </c>
      <c r="I15" s="16">
        <f t="shared" si="3"/>
        <v>1</v>
      </c>
      <c r="J15" s="16">
        <f t="shared" si="3"/>
        <v>1</v>
      </c>
      <c r="K15" s="16">
        <f t="shared" si="3"/>
        <v>1</v>
      </c>
    </row>
    <row r="16" spans="1:12" x14ac:dyDescent="0.25">
      <c r="A16" s="112" t="s">
        <v>68</v>
      </c>
      <c r="B16" s="246">
        <f>+B15*C15*D15*E15*F15*G15*H15*I15*J15*K15</f>
        <v>1.0367999999999999</v>
      </c>
      <c r="C16" s="246"/>
      <c r="D16" s="246"/>
      <c r="E16" s="246"/>
      <c r="F16" s="246"/>
      <c r="G16" s="246"/>
      <c r="H16" s="246"/>
      <c r="I16" s="246"/>
      <c r="J16" s="246"/>
      <c r="K16" s="246"/>
    </row>
    <row r="17" spans="1:11" x14ac:dyDescent="0.25">
      <c r="A17" s="112" t="s">
        <v>76</v>
      </c>
      <c r="B17" s="247">
        <f>POWER(B16,1/3)</f>
        <v>1.0121191983620992</v>
      </c>
      <c r="C17" s="247"/>
      <c r="D17" s="247"/>
      <c r="E17" s="247"/>
      <c r="F17" s="247"/>
      <c r="G17" s="247"/>
      <c r="H17" s="247"/>
      <c r="I17" s="247"/>
      <c r="J17" s="247"/>
      <c r="K17" s="247"/>
    </row>
    <row r="18" spans="1:11" x14ac:dyDescent="0.25">
      <c r="A18" s="113" t="s">
        <v>72</v>
      </c>
      <c r="B18" s="248">
        <f>+B17-1</f>
        <v>1.2119198362099182E-2</v>
      </c>
      <c r="C18" s="248"/>
      <c r="D18" s="248"/>
      <c r="E18" s="248"/>
      <c r="F18" s="248"/>
      <c r="G18" s="248"/>
      <c r="H18" s="248"/>
      <c r="I18" s="248"/>
      <c r="J18" s="248"/>
      <c r="K18" s="248"/>
    </row>
    <row r="19" spans="1:11" x14ac:dyDescent="0.25">
      <c r="A19" s="112" t="s">
        <v>69</v>
      </c>
      <c r="B19" s="249">
        <f>+B18</f>
        <v>1.2119198362099182E-2</v>
      </c>
      <c r="C19" s="249"/>
      <c r="D19" s="249"/>
      <c r="E19" s="249"/>
      <c r="F19" s="249"/>
      <c r="G19" s="249"/>
      <c r="H19" s="249"/>
      <c r="I19" s="249"/>
      <c r="J19" s="249"/>
      <c r="K19" s="249"/>
    </row>
    <row r="21" spans="1:11" x14ac:dyDescent="0.25">
      <c r="B21" s="251" t="s">
        <v>78</v>
      </c>
      <c r="C21" s="251"/>
      <c r="D21" s="251" t="s">
        <v>79</v>
      </c>
      <c r="E21" s="251"/>
      <c r="F21" s="251" t="s">
        <v>77</v>
      </c>
      <c r="G21" s="251"/>
    </row>
    <row r="22" spans="1:11" x14ac:dyDescent="0.25">
      <c r="B22" s="250">
        <f>+B8</f>
        <v>3.6799999999999944E-2</v>
      </c>
      <c r="C22" s="250"/>
      <c r="D22" s="250">
        <f>+B19*L13</f>
        <v>3.6357595086297545E-2</v>
      </c>
      <c r="E22" s="250"/>
      <c r="F22" s="252">
        <f>+B22-D22</f>
        <v>4.4240491370239887E-4</v>
      </c>
      <c r="G22" s="220"/>
    </row>
  </sheetData>
  <mergeCells count="15">
    <mergeCell ref="B6:K6"/>
    <mergeCell ref="B7:K7"/>
    <mergeCell ref="B8:K8"/>
    <mergeCell ref="B1:K1"/>
    <mergeCell ref="B11:K11"/>
    <mergeCell ref="B16:K16"/>
    <mergeCell ref="B17:K17"/>
    <mergeCell ref="B18:K18"/>
    <mergeCell ref="B19:K19"/>
    <mergeCell ref="B22:C22"/>
    <mergeCell ref="B21:C21"/>
    <mergeCell ref="D21:E21"/>
    <mergeCell ref="D22:E22"/>
    <mergeCell ref="F21:G21"/>
    <mergeCell ref="F22:G2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9DFF-F5DD-42F1-9F62-0AEAAFFF8249}">
  <sheetPr>
    <tabColor theme="4" tint="-0.249977111117893"/>
  </sheetPr>
  <dimension ref="A1:R16"/>
  <sheetViews>
    <sheetView showGridLines="0" workbookViewId="0">
      <selection activeCell="J20" sqref="J20"/>
    </sheetView>
  </sheetViews>
  <sheetFormatPr baseColWidth="10" defaultRowHeight="15" x14ac:dyDescent="0.25"/>
  <cols>
    <col min="6" max="6" width="17.28515625" customWidth="1"/>
    <col min="8" max="8" width="2.7109375" customWidth="1"/>
    <col min="12" max="12" width="5.140625" customWidth="1"/>
    <col min="13" max="13" width="6.7109375" customWidth="1"/>
    <col min="14" max="14" width="2.5703125" customWidth="1"/>
    <col min="15" max="17" width="9" customWidth="1"/>
    <col min="18" max="18" width="10.28515625" customWidth="1"/>
  </cols>
  <sheetData>
    <row r="1" spans="1:18" ht="15.75" thickBot="1" x14ac:dyDescent="0.3">
      <c r="A1" s="171">
        <v>1</v>
      </c>
      <c r="B1" s="171">
        <f>+A1+1</f>
        <v>2</v>
      </c>
      <c r="C1" s="171">
        <f t="shared" ref="C1:G1" si="0">+B1+1</f>
        <v>3</v>
      </c>
      <c r="D1" s="171">
        <f t="shared" si="0"/>
        <v>4</v>
      </c>
      <c r="E1" s="171">
        <f t="shared" si="0"/>
        <v>5</v>
      </c>
      <c r="F1" s="171">
        <f t="shared" si="0"/>
        <v>6</v>
      </c>
      <c r="G1" s="171">
        <f t="shared" si="0"/>
        <v>7</v>
      </c>
    </row>
    <row r="2" spans="1:18" ht="15.75" thickTop="1" x14ac:dyDescent="0.25">
      <c r="A2" s="283" t="s">
        <v>104</v>
      </c>
      <c r="B2" s="285" t="s">
        <v>108</v>
      </c>
      <c r="C2" s="287" t="s">
        <v>105</v>
      </c>
      <c r="D2" s="289"/>
      <c r="E2" s="292"/>
      <c r="F2" s="292"/>
      <c r="G2" s="295"/>
      <c r="I2" s="298" t="s">
        <v>120</v>
      </c>
      <c r="J2" s="298"/>
      <c r="K2" s="298"/>
      <c r="L2" s="298"/>
      <c r="M2" s="298"/>
      <c r="O2" s="299" t="s">
        <v>121</v>
      </c>
      <c r="P2" s="300" t="s">
        <v>122</v>
      </c>
      <c r="Q2" s="300" t="s">
        <v>123</v>
      </c>
      <c r="R2" s="255" t="s">
        <v>115</v>
      </c>
    </row>
    <row r="3" spans="1:18" x14ac:dyDescent="0.25">
      <c r="A3" s="284"/>
      <c r="B3" s="286"/>
      <c r="C3" s="288"/>
      <c r="D3" s="290"/>
      <c r="E3" s="293"/>
      <c r="F3" s="293"/>
      <c r="G3" s="296"/>
      <c r="I3" s="298"/>
      <c r="J3" s="298"/>
      <c r="K3" s="298"/>
      <c r="L3" s="298"/>
      <c r="M3" s="298"/>
      <c r="O3" s="299"/>
      <c r="P3" s="300"/>
      <c r="Q3" s="300"/>
      <c r="R3" s="255"/>
    </row>
    <row r="4" spans="1:18" ht="15.75" thickBot="1" x14ac:dyDescent="0.3">
      <c r="A4" s="167" t="s">
        <v>106</v>
      </c>
      <c r="B4" s="168" t="s">
        <v>11</v>
      </c>
      <c r="C4" s="169" t="s">
        <v>107</v>
      </c>
      <c r="D4" s="291"/>
      <c r="E4" s="294"/>
      <c r="F4" s="294"/>
      <c r="G4" s="297"/>
      <c r="I4" s="298"/>
      <c r="J4" s="298"/>
      <c r="K4" s="298"/>
      <c r="L4" s="298"/>
      <c r="M4" s="298"/>
      <c r="O4" s="299"/>
      <c r="P4" s="2">
        <v>2023</v>
      </c>
      <c r="Q4" s="2">
        <v>9</v>
      </c>
      <c r="R4" s="255"/>
    </row>
    <row r="5" spans="1:18" ht="15.75" thickTop="1" x14ac:dyDescent="0.25">
      <c r="A5" s="124">
        <v>2015</v>
      </c>
      <c r="B5" s="118">
        <v>1</v>
      </c>
      <c r="C5" s="151">
        <v>40</v>
      </c>
      <c r="D5" s="154">
        <f>+B5-$B$14</f>
        <v>-3.5</v>
      </c>
      <c r="E5" s="155">
        <f>+C5-$C$14</f>
        <v>-33.75</v>
      </c>
      <c r="F5" s="155">
        <f>+D5*E5</f>
        <v>118.125</v>
      </c>
      <c r="G5" s="156">
        <f>+D5^2</f>
        <v>12.25</v>
      </c>
      <c r="I5" s="279"/>
      <c r="J5" s="279"/>
      <c r="K5" s="279"/>
      <c r="L5" s="279"/>
      <c r="M5" s="279"/>
      <c r="O5" s="173" t="s">
        <v>116</v>
      </c>
      <c r="P5" s="174" t="s">
        <v>117</v>
      </c>
      <c r="Q5" s="174" t="s">
        <v>118</v>
      </c>
      <c r="R5" s="174" t="s">
        <v>119</v>
      </c>
    </row>
    <row r="6" spans="1:18" x14ac:dyDescent="0.25">
      <c r="A6" s="126">
        <f>+A5+1</f>
        <v>2016</v>
      </c>
      <c r="B6" s="120">
        <f>+B5+1</f>
        <v>2</v>
      </c>
      <c r="C6" s="152">
        <v>60</v>
      </c>
      <c r="D6" s="136">
        <f t="shared" ref="D6:D12" si="1">+B6-$B$14</f>
        <v>-2.5</v>
      </c>
      <c r="E6" s="157">
        <f t="shared" ref="E6:E12" si="2">+C6-$C$14</f>
        <v>-13.75</v>
      </c>
      <c r="F6" s="157">
        <f t="shared" ref="F6:F12" si="3">+D6*E6</f>
        <v>34.375</v>
      </c>
      <c r="G6" s="158">
        <f t="shared" ref="G6:G12" si="4">+D6^2</f>
        <v>6.25</v>
      </c>
      <c r="O6" s="1"/>
      <c r="P6" s="40"/>
      <c r="Q6" s="40"/>
      <c r="R6" s="40"/>
    </row>
    <row r="7" spans="1:18" ht="15.75" thickBot="1" x14ac:dyDescent="0.3">
      <c r="A7" s="126">
        <f t="shared" ref="A7:B12" si="5">+A6+1</f>
        <v>2017</v>
      </c>
      <c r="B7" s="120">
        <f t="shared" si="5"/>
        <v>3</v>
      </c>
      <c r="C7" s="152">
        <v>50</v>
      </c>
      <c r="D7" s="136">
        <f t="shared" si="1"/>
        <v>-1.5</v>
      </c>
      <c r="E7" s="157">
        <f t="shared" si="2"/>
        <v>-23.75</v>
      </c>
      <c r="F7" s="157">
        <f t="shared" si="3"/>
        <v>35.625</v>
      </c>
      <c r="G7" s="158">
        <f t="shared" si="4"/>
        <v>2.25</v>
      </c>
      <c r="I7" t="s">
        <v>111</v>
      </c>
      <c r="J7" s="218"/>
      <c r="K7" s="218"/>
      <c r="L7" s="280" t="s">
        <v>112</v>
      </c>
      <c r="M7" s="281">
        <f>+F13/G13</f>
        <v>8.5714285714285712</v>
      </c>
      <c r="O7" s="175">
        <f>+M7</f>
        <v>8.5714285714285712</v>
      </c>
      <c r="P7" s="1">
        <f>+Q4</f>
        <v>9</v>
      </c>
      <c r="Q7" s="175">
        <f>+M10</f>
        <v>35.178571428571431</v>
      </c>
      <c r="R7" s="176">
        <f>+O7*P7+Q7</f>
        <v>112.32142857142857</v>
      </c>
    </row>
    <row r="8" spans="1:18" ht="15.75" thickTop="1" x14ac:dyDescent="0.25">
      <c r="A8" s="126">
        <f t="shared" si="5"/>
        <v>2018</v>
      </c>
      <c r="B8" s="120">
        <f t="shared" si="5"/>
        <v>4</v>
      </c>
      <c r="C8" s="152">
        <v>80</v>
      </c>
      <c r="D8" s="136">
        <f t="shared" si="1"/>
        <v>-0.5</v>
      </c>
      <c r="E8" s="157">
        <f t="shared" si="2"/>
        <v>6.25</v>
      </c>
      <c r="F8" s="157">
        <f t="shared" si="3"/>
        <v>-3.125</v>
      </c>
      <c r="G8" s="158">
        <f t="shared" si="4"/>
        <v>0.25</v>
      </c>
      <c r="J8" s="282"/>
      <c r="K8" s="282"/>
      <c r="L8" s="280"/>
      <c r="M8" s="281"/>
    </row>
    <row r="9" spans="1:18" x14ac:dyDescent="0.25">
      <c r="A9" s="126">
        <f t="shared" si="5"/>
        <v>2019</v>
      </c>
      <c r="B9" s="120">
        <f t="shared" si="5"/>
        <v>5</v>
      </c>
      <c r="C9" s="152">
        <v>70</v>
      </c>
      <c r="D9" s="136">
        <f t="shared" si="1"/>
        <v>0.5</v>
      </c>
      <c r="E9" s="157">
        <f t="shared" si="2"/>
        <v>-3.75</v>
      </c>
      <c r="F9" s="157">
        <f t="shared" si="3"/>
        <v>-1.875</v>
      </c>
      <c r="G9" s="158">
        <f t="shared" si="4"/>
        <v>0.25</v>
      </c>
    </row>
    <row r="10" spans="1:18" x14ac:dyDescent="0.25">
      <c r="A10" s="126">
        <f t="shared" si="5"/>
        <v>2020</v>
      </c>
      <c r="B10" s="120">
        <f t="shared" si="5"/>
        <v>6</v>
      </c>
      <c r="C10" s="152">
        <v>90</v>
      </c>
      <c r="D10" s="136">
        <f t="shared" si="1"/>
        <v>1.5</v>
      </c>
      <c r="E10" s="157">
        <f t="shared" si="2"/>
        <v>16.25</v>
      </c>
      <c r="F10" s="157">
        <f t="shared" si="3"/>
        <v>24.375</v>
      </c>
      <c r="G10" s="158">
        <f t="shared" si="4"/>
        <v>2.25</v>
      </c>
      <c r="I10" t="s">
        <v>113</v>
      </c>
      <c r="J10" s="218"/>
      <c r="K10" s="218"/>
      <c r="L10" s="3" t="s">
        <v>114</v>
      </c>
      <c r="M10" s="172">
        <f>+C14-(M7*B14)</f>
        <v>35.178571428571431</v>
      </c>
    </row>
    <row r="11" spans="1:18" x14ac:dyDescent="0.25">
      <c r="A11" s="126">
        <f t="shared" si="5"/>
        <v>2021</v>
      </c>
      <c r="B11" s="120">
        <f t="shared" si="5"/>
        <v>7</v>
      </c>
      <c r="C11" s="152">
        <v>105</v>
      </c>
      <c r="D11" s="136">
        <f t="shared" si="1"/>
        <v>2.5</v>
      </c>
      <c r="E11" s="157">
        <f t="shared" si="2"/>
        <v>31.25</v>
      </c>
      <c r="F11" s="157">
        <f t="shared" si="3"/>
        <v>78.125</v>
      </c>
      <c r="G11" s="158">
        <f t="shared" si="4"/>
        <v>6.25</v>
      </c>
    </row>
    <row r="12" spans="1:18" ht="15.75" thickBot="1" x14ac:dyDescent="0.3">
      <c r="A12" s="128">
        <f t="shared" si="5"/>
        <v>2022</v>
      </c>
      <c r="B12" s="122">
        <f t="shared" si="5"/>
        <v>8</v>
      </c>
      <c r="C12" s="153">
        <v>95</v>
      </c>
      <c r="D12" s="136">
        <f t="shared" si="1"/>
        <v>3.5</v>
      </c>
      <c r="E12" s="157">
        <f t="shared" si="2"/>
        <v>21.25</v>
      </c>
      <c r="F12" s="157">
        <f t="shared" si="3"/>
        <v>74.375</v>
      </c>
      <c r="G12" s="158">
        <f t="shared" si="4"/>
        <v>12.25</v>
      </c>
    </row>
    <row r="13" spans="1:18" ht="16.5" thickTop="1" thickBot="1" x14ac:dyDescent="0.3">
      <c r="A13" s="150" t="s">
        <v>109</v>
      </c>
      <c r="B13" s="161">
        <f t="shared" ref="B13:G13" si="6">SUM(B5:B12)</f>
        <v>36</v>
      </c>
      <c r="C13" s="162">
        <f t="shared" si="6"/>
        <v>590</v>
      </c>
      <c r="D13" s="149">
        <f t="shared" si="6"/>
        <v>0</v>
      </c>
      <c r="E13" s="149">
        <f t="shared" si="6"/>
        <v>0</v>
      </c>
      <c r="F13" s="159">
        <f t="shared" si="6"/>
        <v>360</v>
      </c>
      <c r="G13" s="160">
        <f t="shared" si="6"/>
        <v>42</v>
      </c>
    </row>
    <row r="14" spans="1:18" ht="15.75" thickTop="1" x14ac:dyDescent="0.25">
      <c r="A14" s="277" t="s">
        <v>110</v>
      </c>
      <c r="B14" s="165">
        <f>+B13/COUNTA(B5:B12)</f>
        <v>4.5</v>
      </c>
      <c r="C14" s="166">
        <f>+C13/COUNTA(C5:C12)</f>
        <v>73.75</v>
      </c>
    </row>
    <row r="15" spans="1:18" ht="15.75" thickBot="1" x14ac:dyDescent="0.3">
      <c r="A15" s="278"/>
      <c r="B15" s="163"/>
      <c r="C15" s="164"/>
    </row>
    <row r="16" spans="1:18" ht="15.75" thickTop="1" x14ac:dyDescent="0.25">
      <c r="A16" s="170"/>
    </row>
  </sheetData>
  <mergeCells count="20">
    <mergeCell ref="R2:R4"/>
    <mergeCell ref="A2:A3"/>
    <mergeCell ref="B2:B3"/>
    <mergeCell ref="C2:C3"/>
    <mergeCell ref="D2:D4"/>
    <mergeCell ref="E2:E4"/>
    <mergeCell ref="F2:F4"/>
    <mergeCell ref="G2:G4"/>
    <mergeCell ref="I2:M4"/>
    <mergeCell ref="O2:O4"/>
    <mergeCell ref="P2:P3"/>
    <mergeCell ref="Q2:Q3"/>
    <mergeCell ref="J10:K10"/>
    <mergeCell ref="A14:A15"/>
    <mergeCell ref="I5:J5"/>
    <mergeCell ref="K5:M5"/>
    <mergeCell ref="J7:K7"/>
    <mergeCell ref="L7:L8"/>
    <mergeCell ref="M7:M8"/>
    <mergeCell ref="J8:K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7B261-D1F1-48B3-8C90-3E184AABB6DA}">
  <sheetPr>
    <tabColor rgb="FF00B050"/>
  </sheetPr>
  <dimension ref="A1:T36"/>
  <sheetViews>
    <sheetView showGridLines="0" tabSelected="1" workbookViewId="0">
      <selection activeCell="O42" sqref="O42"/>
    </sheetView>
  </sheetViews>
  <sheetFormatPr baseColWidth="10" defaultRowHeight="15" x14ac:dyDescent="0.25"/>
  <cols>
    <col min="11" max="11" width="2.5703125" customWidth="1"/>
    <col min="12" max="12" width="15.28515625" customWidth="1"/>
    <col min="13" max="13" width="11.42578125" style="51"/>
    <col min="14" max="14" width="2.28515625" customWidth="1"/>
    <col min="15" max="15" width="25.140625" customWidth="1"/>
    <col min="16" max="16" width="11.42578125" style="51"/>
    <col min="17" max="17" width="3.140625" style="175" customWidth="1"/>
    <col min="18" max="19" width="11.42578125" style="51"/>
  </cols>
  <sheetData>
    <row r="1" spans="1:20" ht="15.75" thickTop="1" x14ac:dyDescent="0.25">
      <c r="A1" s="198" t="s">
        <v>160</v>
      </c>
      <c r="B1" s="199" t="s">
        <v>161</v>
      </c>
      <c r="C1" s="199"/>
      <c r="D1" s="199"/>
      <c r="E1" s="199" t="s">
        <v>162</v>
      </c>
      <c r="F1" s="199" t="s">
        <v>163</v>
      </c>
      <c r="G1" s="199" t="s">
        <v>164</v>
      </c>
      <c r="H1" s="199" t="s">
        <v>165</v>
      </c>
      <c r="I1" s="199" t="s">
        <v>166</v>
      </c>
      <c r="J1" s="200" t="s">
        <v>167</v>
      </c>
      <c r="L1" s="201" t="s">
        <v>172</v>
      </c>
      <c r="M1" s="202">
        <v>6</v>
      </c>
      <c r="O1" s="9" t="s">
        <v>167</v>
      </c>
      <c r="S1" s="312" t="s">
        <v>183</v>
      </c>
      <c r="T1" s="312"/>
    </row>
    <row r="2" spans="1:20" x14ac:dyDescent="0.25">
      <c r="A2" s="192">
        <v>1</v>
      </c>
      <c r="B2" s="193">
        <v>2.4</v>
      </c>
      <c r="C2" s="193"/>
      <c r="D2" s="193"/>
      <c r="E2" s="193">
        <f>+A2-$M$3</f>
        <v>-2.5</v>
      </c>
      <c r="F2" s="59">
        <f>+B2-$M$5</f>
        <v>-2.6</v>
      </c>
      <c r="G2" s="193">
        <f>+E2^2</f>
        <v>6.25</v>
      </c>
      <c r="H2" s="193">
        <f>+F2^2</f>
        <v>6.7600000000000007</v>
      </c>
      <c r="I2" s="193">
        <f>+E2*F2</f>
        <v>6.5</v>
      </c>
      <c r="J2" s="194">
        <f>+$S$2*A2+$S$3</f>
        <v>1.4</v>
      </c>
      <c r="L2" s="192" t="s">
        <v>168</v>
      </c>
      <c r="M2" s="204">
        <f>SUM(A2:A7)</f>
        <v>21</v>
      </c>
      <c r="O2" t="s">
        <v>179</v>
      </c>
      <c r="P2" s="175">
        <f>+I8</f>
        <v>25.2</v>
      </c>
      <c r="Q2" s="208" t="s">
        <v>180</v>
      </c>
      <c r="R2" s="175">
        <f>+G8</f>
        <v>17.5</v>
      </c>
      <c r="S2" s="175">
        <f>+P2/R2</f>
        <v>1.44</v>
      </c>
    </row>
    <row r="3" spans="1:20" x14ac:dyDescent="0.25">
      <c r="A3" s="192">
        <v>2</v>
      </c>
      <c r="B3" s="193">
        <v>3</v>
      </c>
      <c r="C3" s="193"/>
      <c r="D3" s="193"/>
      <c r="E3" s="193">
        <f t="shared" ref="E3:E7" si="0">+A3-$M$3</f>
        <v>-1.5</v>
      </c>
      <c r="F3" s="59">
        <f t="shared" ref="F3:F7" si="1">+B3-$M$5</f>
        <v>-2</v>
      </c>
      <c r="G3" s="193">
        <f t="shared" ref="G3:G7" si="2">+E3^2</f>
        <v>2.25</v>
      </c>
      <c r="H3" s="193">
        <f t="shared" ref="H3:H7" si="3">+F3^2</f>
        <v>4</v>
      </c>
      <c r="I3" s="193">
        <f t="shared" ref="I3:I7" si="4">+E3*F3</f>
        <v>3</v>
      </c>
      <c r="J3" s="194">
        <f t="shared" ref="J3:J7" si="5">+$S$2*A3+$S$3</f>
        <v>2.84</v>
      </c>
      <c r="L3" s="192" t="s">
        <v>170</v>
      </c>
      <c r="M3" s="205">
        <f>+M2/M1</f>
        <v>3.5</v>
      </c>
      <c r="O3" t="s">
        <v>181</v>
      </c>
      <c r="P3" s="175">
        <f>+M5</f>
        <v>5</v>
      </c>
      <c r="Q3" s="208" t="s">
        <v>182</v>
      </c>
      <c r="R3" s="175">
        <f>+S2*M3</f>
        <v>5.04</v>
      </c>
      <c r="S3" s="175">
        <f>+P3-R3</f>
        <v>-4.0000000000000036E-2</v>
      </c>
    </row>
    <row r="4" spans="1:20" x14ac:dyDescent="0.25">
      <c r="A4" s="192">
        <v>3</v>
      </c>
      <c r="B4" s="193">
        <v>3.6</v>
      </c>
      <c r="C4" s="193"/>
      <c r="D4" s="193"/>
      <c r="E4" s="193">
        <f t="shared" si="0"/>
        <v>-0.5</v>
      </c>
      <c r="F4" s="59">
        <f t="shared" si="1"/>
        <v>-1.4</v>
      </c>
      <c r="G4" s="193">
        <f t="shared" si="2"/>
        <v>0.25</v>
      </c>
      <c r="H4" s="193">
        <f t="shared" si="3"/>
        <v>1.9599999999999997</v>
      </c>
      <c r="I4" s="193">
        <f t="shared" si="4"/>
        <v>0.7</v>
      </c>
      <c r="J4" s="194">
        <f t="shared" si="5"/>
        <v>4.28</v>
      </c>
      <c r="L4" s="192" t="s">
        <v>169</v>
      </c>
      <c r="M4" s="204">
        <f>SUM(B2:B7)</f>
        <v>30</v>
      </c>
      <c r="O4" t="s">
        <v>184</v>
      </c>
      <c r="P4" s="175">
        <f>+I8</f>
        <v>25.2</v>
      </c>
      <c r="Q4" s="208" t="s">
        <v>180</v>
      </c>
      <c r="R4" s="175">
        <f>SQRT(G8)*SQRT(H8)</f>
        <v>27.342274960214997</v>
      </c>
      <c r="S4" s="175">
        <f>+P4/R4</f>
        <v>0.921649717760056</v>
      </c>
    </row>
    <row r="5" spans="1:20" x14ac:dyDescent="0.25">
      <c r="A5" s="192">
        <v>4</v>
      </c>
      <c r="B5" s="193">
        <v>4</v>
      </c>
      <c r="C5" s="193"/>
      <c r="D5" s="193"/>
      <c r="E5" s="193">
        <f t="shared" si="0"/>
        <v>0.5</v>
      </c>
      <c r="F5" s="59">
        <f t="shared" si="1"/>
        <v>-1</v>
      </c>
      <c r="G5" s="193">
        <f t="shared" si="2"/>
        <v>0.25</v>
      </c>
      <c r="H5" s="193">
        <f t="shared" si="3"/>
        <v>1</v>
      </c>
      <c r="I5" s="193">
        <f t="shared" si="4"/>
        <v>-0.5</v>
      </c>
      <c r="J5" s="194">
        <f t="shared" si="5"/>
        <v>5.72</v>
      </c>
      <c r="L5" s="192" t="s">
        <v>171</v>
      </c>
      <c r="M5" s="205">
        <f>+M4/M1</f>
        <v>5</v>
      </c>
      <c r="O5" t="s">
        <v>186</v>
      </c>
      <c r="P5" s="175">
        <f>+S4^2</f>
        <v>0.84943820224719091</v>
      </c>
      <c r="Q5" s="208" t="s">
        <v>188</v>
      </c>
      <c r="R5" s="175">
        <v>100</v>
      </c>
      <c r="S5" s="175">
        <f>+P5*R5</f>
        <v>84.94382022471909</v>
      </c>
    </row>
    <row r="6" spans="1:20" x14ac:dyDescent="0.25">
      <c r="A6" s="192">
        <v>5</v>
      </c>
      <c r="B6" s="193">
        <v>7</v>
      </c>
      <c r="C6" s="193"/>
      <c r="D6" s="193"/>
      <c r="E6" s="193">
        <f t="shared" si="0"/>
        <v>1.5</v>
      </c>
      <c r="F6" s="59">
        <f t="shared" si="1"/>
        <v>2</v>
      </c>
      <c r="G6" s="193">
        <f t="shared" si="2"/>
        <v>2.25</v>
      </c>
      <c r="H6" s="193">
        <f t="shared" si="3"/>
        <v>4</v>
      </c>
      <c r="I6" s="193">
        <f t="shared" si="4"/>
        <v>3</v>
      </c>
      <c r="J6" s="194">
        <f t="shared" si="5"/>
        <v>7.1599999999999993</v>
      </c>
      <c r="L6" s="209" t="s">
        <v>185</v>
      </c>
      <c r="M6" s="210">
        <f>+S4</f>
        <v>0.921649717760056</v>
      </c>
    </row>
    <row r="7" spans="1:20" x14ac:dyDescent="0.25">
      <c r="A7" s="192">
        <v>6</v>
      </c>
      <c r="B7" s="193">
        <v>10</v>
      </c>
      <c r="C7" s="193"/>
      <c r="D7" s="193"/>
      <c r="E7" s="193">
        <f t="shared" si="0"/>
        <v>2.5</v>
      </c>
      <c r="F7" s="59">
        <f t="shared" si="1"/>
        <v>5</v>
      </c>
      <c r="G7" s="193">
        <f t="shared" si="2"/>
        <v>6.25</v>
      </c>
      <c r="H7" s="193">
        <f t="shared" si="3"/>
        <v>25</v>
      </c>
      <c r="I7" s="193">
        <f t="shared" si="4"/>
        <v>12.5</v>
      </c>
      <c r="J7" s="194">
        <f t="shared" si="5"/>
        <v>8.6000000000000014</v>
      </c>
      <c r="L7" s="209" t="s">
        <v>187</v>
      </c>
      <c r="M7" s="210">
        <f>+S5</f>
        <v>84.94382022471909</v>
      </c>
    </row>
    <row r="8" spans="1:20" ht="15.75" thickBot="1" x14ac:dyDescent="0.3">
      <c r="A8" s="306"/>
      <c r="B8" s="307"/>
      <c r="C8" s="307"/>
      <c r="D8" s="308"/>
      <c r="E8" s="195">
        <f t="shared" ref="E8:J8" si="6">SUM(E2:E7)</f>
        <v>0</v>
      </c>
      <c r="F8" s="195">
        <f t="shared" si="6"/>
        <v>0</v>
      </c>
      <c r="G8" s="206">
        <f t="shared" si="6"/>
        <v>17.5</v>
      </c>
      <c r="H8" s="206">
        <f t="shared" si="6"/>
        <v>42.72</v>
      </c>
      <c r="I8" s="206">
        <f t="shared" si="6"/>
        <v>25.2</v>
      </c>
      <c r="J8" s="207">
        <f t="shared" si="6"/>
        <v>30</v>
      </c>
      <c r="L8" s="211" t="s">
        <v>189</v>
      </c>
      <c r="M8" s="212">
        <f>+$S$2*7+$S$3</f>
        <v>10.039999999999999</v>
      </c>
    </row>
    <row r="9" spans="1:20" ht="16.5" thickTop="1" thickBot="1" x14ac:dyDescent="0.3"/>
    <row r="10" spans="1:20" ht="15.75" thickTop="1" x14ac:dyDescent="0.25">
      <c r="A10" s="198" t="s">
        <v>160</v>
      </c>
      <c r="B10" s="199" t="s">
        <v>161</v>
      </c>
      <c r="C10" s="199" t="s">
        <v>173</v>
      </c>
      <c r="D10" s="199"/>
      <c r="E10" s="199" t="s">
        <v>162</v>
      </c>
      <c r="F10" s="199" t="s">
        <v>163</v>
      </c>
      <c r="G10" s="199" t="s">
        <v>164</v>
      </c>
      <c r="H10" s="199" t="s">
        <v>165</v>
      </c>
      <c r="I10" s="199" t="s">
        <v>166</v>
      </c>
      <c r="J10" s="200" t="s">
        <v>178</v>
      </c>
      <c r="L10" s="201" t="s">
        <v>172</v>
      </c>
      <c r="M10" s="202">
        <v>6</v>
      </c>
      <c r="O10" s="9" t="s">
        <v>191</v>
      </c>
      <c r="S10" s="312" t="s">
        <v>190</v>
      </c>
      <c r="T10" s="312"/>
    </row>
    <row r="11" spans="1:20" x14ac:dyDescent="0.25">
      <c r="A11" s="196">
        <v>1</v>
      </c>
      <c r="B11" s="59">
        <v>2.4</v>
      </c>
      <c r="C11" s="59">
        <f>LN(A11)</f>
        <v>0</v>
      </c>
      <c r="D11" s="59"/>
      <c r="E11" s="59">
        <f>+C11-$M$12</f>
        <v>-1.0965418686683501</v>
      </c>
      <c r="F11" s="59">
        <f>+B11-$M$14</f>
        <v>-2.6</v>
      </c>
      <c r="G11" s="59">
        <f>+E11^2</f>
        <v>1.2024040697426772</v>
      </c>
      <c r="H11" s="59">
        <f>+F11^2</f>
        <v>6.7600000000000007</v>
      </c>
      <c r="I11" s="59">
        <f>+E11*F11</f>
        <v>2.8510088585377105</v>
      </c>
      <c r="J11" s="70">
        <f>+$S$11*LN(A11)+$S$12</f>
        <v>1.0707832039541558</v>
      </c>
      <c r="L11" s="203" t="s">
        <v>174</v>
      </c>
      <c r="M11" s="70">
        <f>SUM(C11:C16)</f>
        <v>6.5792512120101012</v>
      </c>
      <c r="O11" t="s">
        <v>179</v>
      </c>
      <c r="P11" s="175">
        <f>+I17</f>
        <v>7.8670272446333405</v>
      </c>
      <c r="Q11" s="208" t="s">
        <v>180</v>
      </c>
      <c r="R11" s="175">
        <f>+G17</f>
        <v>2.1954820014961616</v>
      </c>
      <c r="S11" s="175">
        <f>+P11/R11</f>
        <v>3.5832802269716511</v>
      </c>
    </row>
    <row r="12" spans="1:20" x14ac:dyDescent="0.25">
      <c r="A12" s="196">
        <v>2</v>
      </c>
      <c r="B12" s="59">
        <v>3</v>
      </c>
      <c r="C12" s="59">
        <f t="shared" ref="C12:C16" si="7">LN(A12)</f>
        <v>0.69314718055994529</v>
      </c>
      <c r="D12" s="59"/>
      <c r="E12" s="59">
        <f t="shared" ref="E12:E16" si="8">+C12-$M$12</f>
        <v>-0.40339468810840484</v>
      </c>
      <c r="F12" s="59">
        <f t="shared" ref="F12:F16" si="9">+B12-$M$14</f>
        <v>-2</v>
      </c>
      <c r="G12" s="59">
        <f t="shared" ref="G12:G16" si="10">+E12^2</f>
        <v>0.16272727439407722</v>
      </c>
      <c r="H12" s="59">
        <f t="shared" ref="H12:H16" si="11">+F12^2</f>
        <v>4</v>
      </c>
      <c r="I12" s="59">
        <f t="shared" ref="I12:I16" si="12">+E12*F12</f>
        <v>0.80678937621680968</v>
      </c>
      <c r="J12" s="70">
        <f t="shared" ref="J12:J16" si="13">+$S$11*LN(A12)+$S$12</f>
        <v>3.5545237904357565</v>
      </c>
      <c r="L12" s="203" t="s">
        <v>170</v>
      </c>
      <c r="M12" s="70">
        <f>+M11/M10</f>
        <v>1.0965418686683501</v>
      </c>
      <c r="O12" t="s">
        <v>181</v>
      </c>
      <c r="P12" s="175">
        <f>+M14</f>
        <v>5</v>
      </c>
      <c r="Q12" s="208" t="s">
        <v>182</v>
      </c>
      <c r="R12" s="175">
        <f>+S11*M12</f>
        <v>3.9292167960458442</v>
      </c>
      <c r="S12" s="175">
        <f>+P12-R12</f>
        <v>1.0707832039541558</v>
      </c>
    </row>
    <row r="13" spans="1:20" x14ac:dyDescent="0.25">
      <c r="A13" s="196">
        <v>3</v>
      </c>
      <c r="B13" s="59">
        <v>3.6</v>
      </c>
      <c r="C13" s="59">
        <f t="shared" si="7"/>
        <v>1.0986122886681098</v>
      </c>
      <c r="D13" s="59"/>
      <c r="E13" s="59">
        <f t="shared" si="8"/>
        <v>2.070419999759654E-3</v>
      </c>
      <c r="F13" s="59">
        <f t="shared" si="9"/>
        <v>-1.4</v>
      </c>
      <c r="G13" s="59">
        <f t="shared" si="10"/>
        <v>4.2866389754047659E-6</v>
      </c>
      <c r="H13" s="59">
        <f t="shared" si="11"/>
        <v>1.9599999999999997</v>
      </c>
      <c r="I13" s="59">
        <f t="shared" si="12"/>
        <v>-2.8985879996635154E-3</v>
      </c>
      <c r="J13" s="70">
        <f t="shared" si="13"/>
        <v>5.0074188950466656</v>
      </c>
      <c r="L13" s="192" t="s">
        <v>169</v>
      </c>
      <c r="M13" s="70">
        <f>SUM(B11:B16)</f>
        <v>30</v>
      </c>
      <c r="O13" t="s">
        <v>184</v>
      </c>
      <c r="P13" s="175">
        <f>+I17</f>
        <v>7.8670272446333405</v>
      </c>
      <c r="Q13" s="208" t="s">
        <v>180</v>
      </c>
      <c r="R13" s="175">
        <f>SQRT(G17)*SQRT(H17)</f>
        <v>9.6845749056897699</v>
      </c>
      <c r="S13" s="175">
        <f>+P13/R13</f>
        <v>0.81232550950805238</v>
      </c>
    </row>
    <row r="14" spans="1:20" x14ac:dyDescent="0.25">
      <c r="A14" s="196">
        <v>4</v>
      </c>
      <c r="B14" s="59">
        <v>4</v>
      </c>
      <c r="C14" s="59">
        <f t="shared" si="7"/>
        <v>1.3862943611198906</v>
      </c>
      <c r="D14" s="59"/>
      <c r="E14" s="59">
        <f t="shared" si="8"/>
        <v>0.28975249245154044</v>
      </c>
      <c r="F14" s="59">
        <f t="shared" si="9"/>
        <v>-1</v>
      </c>
      <c r="G14" s="59">
        <f t="shared" si="10"/>
        <v>8.395650688188E-2</v>
      </c>
      <c r="H14" s="59">
        <f t="shared" si="11"/>
        <v>1</v>
      </c>
      <c r="I14" s="59">
        <f t="shared" si="12"/>
        <v>-0.28975249245154044</v>
      </c>
      <c r="J14" s="70">
        <f t="shared" si="13"/>
        <v>6.0382643769173576</v>
      </c>
      <c r="L14" s="192" t="s">
        <v>171</v>
      </c>
      <c r="M14" s="70">
        <f>+M13/M10</f>
        <v>5</v>
      </c>
      <c r="O14" t="s">
        <v>186</v>
      </c>
      <c r="P14" s="175">
        <f>+S13^2</f>
        <v>0.65987273339751684</v>
      </c>
      <c r="Q14" s="208" t="s">
        <v>188</v>
      </c>
      <c r="R14" s="175">
        <v>100</v>
      </c>
      <c r="S14" s="175">
        <f>+P14*R14</f>
        <v>65.987273339751681</v>
      </c>
    </row>
    <row r="15" spans="1:20" x14ac:dyDescent="0.25">
      <c r="A15" s="196">
        <v>5</v>
      </c>
      <c r="B15" s="59">
        <v>7</v>
      </c>
      <c r="C15" s="59">
        <f t="shared" si="7"/>
        <v>1.6094379124341003</v>
      </c>
      <c r="D15" s="59"/>
      <c r="E15" s="59">
        <f t="shared" si="8"/>
        <v>0.51289604376575015</v>
      </c>
      <c r="F15" s="59">
        <f t="shared" si="9"/>
        <v>2</v>
      </c>
      <c r="G15" s="59">
        <f t="shared" si="10"/>
        <v>0.26306235171055831</v>
      </c>
      <c r="H15" s="59">
        <f t="shared" si="11"/>
        <v>4</v>
      </c>
      <c r="I15" s="59">
        <f t="shared" si="12"/>
        <v>1.0257920875315003</v>
      </c>
      <c r="J15" s="70">
        <f t="shared" si="13"/>
        <v>6.8378502521177982</v>
      </c>
      <c r="L15" s="209" t="s">
        <v>185</v>
      </c>
      <c r="M15" s="210">
        <f>+S13</f>
        <v>0.81232550950805238</v>
      </c>
    </row>
    <row r="16" spans="1:20" x14ac:dyDescent="0.25">
      <c r="A16" s="196">
        <v>6</v>
      </c>
      <c r="B16" s="59">
        <v>10</v>
      </c>
      <c r="C16" s="59">
        <f t="shared" si="7"/>
        <v>1.791759469228055</v>
      </c>
      <c r="D16" s="59"/>
      <c r="E16" s="59">
        <f t="shared" si="8"/>
        <v>0.69521760055970483</v>
      </c>
      <c r="F16" s="59">
        <f t="shared" si="9"/>
        <v>5</v>
      </c>
      <c r="G16" s="59">
        <f t="shared" si="10"/>
        <v>0.4833275121279933</v>
      </c>
      <c r="H16" s="59">
        <f t="shared" si="11"/>
        <v>25</v>
      </c>
      <c r="I16" s="59">
        <f t="shared" si="12"/>
        <v>3.4760880027985239</v>
      </c>
      <c r="J16" s="70">
        <f t="shared" si="13"/>
        <v>7.4911594815282658</v>
      </c>
      <c r="L16" s="209" t="s">
        <v>187</v>
      </c>
      <c r="M16" s="210">
        <f>+S14</f>
        <v>65.987273339751681</v>
      </c>
    </row>
    <row r="17" spans="1:20" ht="15.75" thickBot="1" x14ac:dyDescent="0.3">
      <c r="A17" s="309"/>
      <c r="B17" s="310"/>
      <c r="C17" s="310"/>
      <c r="D17" s="311"/>
      <c r="E17" s="197">
        <f>SUM(E11:E16)</f>
        <v>0</v>
      </c>
      <c r="F17" s="197">
        <f t="shared" ref="F17:I17" si="14">SUM(F11:F16)</f>
        <v>0</v>
      </c>
      <c r="G17" s="197">
        <f t="shared" si="14"/>
        <v>2.1954820014961616</v>
      </c>
      <c r="H17" s="197">
        <f t="shared" si="14"/>
        <v>42.72</v>
      </c>
      <c r="I17" s="197">
        <f t="shared" si="14"/>
        <v>7.8670272446333405</v>
      </c>
      <c r="J17" s="213">
        <f>SUM(J11:J16)</f>
        <v>30</v>
      </c>
      <c r="L17" s="211" t="s">
        <v>189</v>
      </c>
      <c r="M17" s="212">
        <f>+$S$11*LN(7)+$S$12</f>
        <v>8.0435245645275177</v>
      </c>
    </row>
    <row r="18" spans="1:20" ht="16.5" thickTop="1" thickBot="1" x14ac:dyDescent="0.3"/>
    <row r="19" spans="1:20" ht="15.75" thickTop="1" x14ac:dyDescent="0.25">
      <c r="A19" s="198" t="s">
        <v>160</v>
      </c>
      <c r="B19" s="199" t="s">
        <v>161</v>
      </c>
      <c r="C19" s="199" t="s">
        <v>175</v>
      </c>
      <c r="D19" s="199"/>
      <c r="E19" s="199" t="s">
        <v>162</v>
      </c>
      <c r="F19" s="199" t="s">
        <v>163</v>
      </c>
      <c r="G19" s="199" t="s">
        <v>164</v>
      </c>
      <c r="H19" s="199" t="s">
        <v>165</v>
      </c>
      <c r="I19" s="199" t="s">
        <v>166</v>
      </c>
      <c r="J19" s="200" t="s">
        <v>195</v>
      </c>
      <c r="L19" s="201" t="s">
        <v>172</v>
      </c>
      <c r="M19" s="202">
        <v>6</v>
      </c>
      <c r="O19" s="9" t="s">
        <v>192</v>
      </c>
      <c r="P19" s="313"/>
      <c r="Q19" s="313"/>
      <c r="R19" s="313"/>
      <c r="S19" s="14" t="s">
        <v>195</v>
      </c>
      <c r="T19" s="216" t="s">
        <v>194</v>
      </c>
    </row>
    <row r="20" spans="1:20" x14ac:dyDescent="0.25">
      <c r="A20" s="196">
        <v>1</v>
      </c>
      <c r="B20" s="59">
        <v>2.4</v>
      </c>
      <c r="C20" s="59">
        <f>LN(B20)</f>
        <v>0.87546873735389985</v>
      </c>
      <c r="D20" s="59"/>
      <c r="E20" s="59">
        <f>+A20-$M$21</f>
        <v>-2.5</v>
      </c>
      <c r="F20" s="59">
        <f>+C20-$M$23</f>
        <v>-0.60616534175498749</v>
      </c>
      <c r="G20" s="59">
        <f>+E20^2</f>
        <v>6.25</v>
      </c>
      <c r="H20" s="59">
        <f>+F20^2</f>
        <v>0.36743642154494077</v>
      </c>
      <c r="I20" s="59">
        <f>+E20*F20</f>
        <v>1.5154133543874688</v>
      </c>
      <c r="J20" s="214">
        <f>+$P$25*EXP($S$20*A20)</f>
        <v>2.1877203990725018</v>
      </c>
      <c r="L20" s="192" t="s">
        <v>168</v>
      </c>
      <c r="M20" s="70">
        <f>SUM(A20:A25)</f>
        <v>21</v>
      </c>
      <c r="O20" t="s">
        <v>179</v>
      </c>
      <c r="P20" s="175">
        <f>+I26</f>
        <v>4.8914179375100844</v>
      </c>
      <c r="Q20" s="208" t="s">
        <v>180</v>
      </c>
      <c r="R20" s="175">
        <f>+G26</f>
        <v>17.5</v>
      </c>
      <c r="S20" s="175">
        <f>+P20/R20</f>
        <v>0.27950959642914769</v>
      </c>
    </row>
    <row r="21" spans="1:20" x14ac:dyDescent="0.25">
      <c r="A21" s="196">
        <v>2</v>
      </c>
      <c r="B21" s="59">
        <v>3</v>
      </c>
      <c r="C21" s="59">
        <f t="shared" ref="C21:C25" si="15">LN(B21)</f>
        <v>1.0986122886681098</v>
      </c>
      <c r="D21" s="59"/>
      <c r="E21" s="59">
        <f t="shared" ref="E21:E25" si="16">+A21-$M$21</f>
        <v>-1.5</v>
      </c>
      <c r="F21" s="59">
        <f t="shared" ref="F21:F25" si="17">+C21-$M$23</f>
        <v>-0.38302179044077755</v>
      </c>
      <c r="G21" s="59">
        <f t="shared" ref="G21:G25" si="18">+E21^2</f>
        <v>2.25</v>
      </c>
      <c r="H21" s="59">
        <f t="shared" ref="H21:H25" si="19">+F21^2</f>
        <v>0.14670569195245892</v>
      </c>
      <c r="I21" s="59">
        <f t="shared" ref="I21:I25" si="20">+E21*F21</f>
        <v>0.57453268566116633</v>
      </c>
      <c r="J21" s="214">
        <f t="shared" ref="J21:J25" si="21">+$P$25*EXP($S$20*A21)</f>
        <v>2.8932188882373584</v>
      </c>
      <c r="L21" s="192" t="s">
        <v>170</v>
      </c>
      <c r="M21" s="70">
        <f>+M20/M19</f>
        <v>3.5</v>
      </c>
      <c r="O21" t="s">
        <v>181</v>
      </c>
      <c r="P21" s="175">
        <f>+M23</f>
        <v>1.4816340791088873</v>
      </c>
      <c r="Q21" s="208" t="s">
        <v>182</v>
      </c>
      <c r="R21" s="175">
        <f>+S20*M21</f>
        <v>0.97828358750201694</v>
      </c>
      <c r="S21" s="175">
        <f>+P21-R21</f>
        <v>0.5033504916068704</v>
      </c>
    </row>
    <row r="22" spans="1:20" x14ac:dyDescent="0.25">
      <c r="A22" s="196">
        <v>3</v>
      </c>
      <c r="B22" s="59">
        <v>3.6</v>
      </c>
      <c r="C22" s="59">
        <f t="shared" si="15"/>
        <v>1.2809338454620642</v>
      </c>
      <c r="D22" s="59"/>
      <c r="E22" s="59">
        <f t="shared" si="16"/>
        <v>-0.5</v>
      </c>
      <c r="F22" s="59">
        <f t="shared" si="17"/>
        <v>-0.2007002336468231</v>
      </c>
      <c r="G22" s="59">
        <f t="shared" si="18"/>
        <v>0.25</v>
      </c>
      <c r="H22" s="59">
        <f t="shared" si="19"/>
        <v>4.0280583785889383E-2</v>
      </c>
      <c r="I22" s="59">
        <f t="shared" si="20"/>
        <v>0.10035011682341155</v>
      </c>
      <c r="J22" s="214">
        <f t="shared" si="21"/>
        <v>3.8262273089386722</v>
      </c>
      <c r="L22" s="203" t="s">
        <v>176</v>
      </c>
      <c r="M22" s="70">
        <f>SUM(C20:C25)</f>
        <v>8.8898044746533245</v>
      </c>
      <c r="O22" t="s">
        <v>184</v>
      </c>
      <c r="P22" s="175">
        <f>+I26</f>
        <v>4.8914179375100844</v>
      </c>
      <c r="Q22" s="208" t="s">
        <v>180</v>
      </c>
      <c r="R22" s="175">
        <f>SQRT(G26)*SQRT(H26)</f>
        <v>5.0426125094127432</v>
      </c>
      <c r="S22" s="175">
        <f>+P22/R22</f>
        <v>0.9700166190401438</v>
      </c>
    </row>
    <row r="23" spans="1:20" x14ac:dyDescent="0.25">
      <c r="A23" s="196">
        <v>4</v>
      </c>
      <c r="B23" s="59">
        <v>4</v>
      </c>
      <c r="C23" s="59">
        <f t="shared" si="15"/>
        <v>1.3862943611198906</v>
      </c>
      <c r="D23" s="59"/>
      <c r="E23" s="59">
        <f t="shared" si="16"/>
        <v>0.5</v>
      </c>
      <c r="F23" s="59">
        <f t="shared" si="17"/>
        <v>-9.5339717988996764E-2</v>
      </c>
      <c r="G23" s="59">
        <f t="shared" si="18"/>
        <v>0.25</v>
      </c>
      <c r="H23" s="59">
        <f t="shared" si="19"/>
        <v>9.0896618262214339E-3</v>
      </c>
      <c r="I23" s="59">
        <f t="shared" si="20"/>
        <v>-4.7669858994498382E-2</v>
      </c>
      <c r="J23" s="214">
        <f t="shared" si="21"/>
        <v>5.060113315030665</v>
      </c>
      <c r="L23" s="203" t="s">
        <v>171</v>
      </c>
      <c r="M23" s="70">
        <f>+M22/M19</f>
        <v>1.4816340791088873</v>
      </c>
      <c r="O23" t="s">
        <v>186</v>
      </c>
      <c r="P23" s="175">
        <f>+S22^2</f>
        <v>0.94093224121407149</v>
      </c>
      <c r="Q23" s="208" t="s">
        <v>188</v>
      </c>
      <c r="R23" s="175">
        <v>100</v>
      </c>
      <c r="S23" s="175">
        <f>+P23*R23</f>
        <v>94.093224121407147</v>
      </c>
    </row>
    <row r="24" spans="1:20" x14ac:dyDescent="0.25">
      <c r="A24" s="196">
        <v>5</v>
      </c>
      <c r="B24" s="59">
        <v>7</v>
      </c>
      <c r="C24" s="59">
        <f t="shared" si="15"/>
        <v>1.9459101490553132</v>
      </c>
      <c r="D24" s="59"/>
      <c r="E24" s="59">
        <f t="shared" si="16"/>
        <v>1.5</v>
      </c>
      <c r="F24" s="59">
        <f t="shared" si="17"/>
        <v>0.4642760699464259</v>
      </c>
      <c r="G24" s="59">
        <f t="shared" si="18"/>
        <v>2.25</v>
      </c>
      <c r="H24" s="59">
        <f t="shared" si="19"/>
        <v>0.21555226912489855</v>
      </c>
      <c r="I24" s="59">
        <f t="shared" si="20"/>
        <v>0.69641410491963884</v>
      </c>
      <c r="J24" s="214">
        <f t="shared" si="21"/>
        <v>6.6919042423679027</v>
      </c>
      <c r="L24" s="209" t="s">
        <v>185</v>
      </c>
      <c r="M24" s="210">
        <f>+S22</f>
        <v>0.9700166190401438</v>
      </c>
    </row>
    <row r="25" spans="1:20" x14ac:dyDescent="0.25">
      <c r="A25" s="196">
        <v>6</v>
      </c>
      <c r="B25" s="59">
        <v>10</v>
      </c>
      <c r="C25" s="59">
        <f t="shared" si="15"/>
        <v>2.3025850929940459</v>
      </c>
      <c r="D25" s="59"/>
      <c r="E25" s="59">
        <f t="shared" si="16"/>
        <v>2.5</v>
      </c>
      <c r="F25" s="59">
        <f t="shared" si="17"/>
        <v>0.82095101388515856</v>
      </c>
      <c r="G25" s="59">
        <f t="shared" si="18"/>
        <v>6.25</v>
      </c>
      <c r="H25" s="59">
        <f t="shared" si="19"/>
        <v>0.67396056719906983</v>
      </c>
      <c r="I25" s="59">
        <f t="shared" si="20"/>
        <v>2.0523775347128965</v>
      </c>
      <c r="J25" s="214">
        <f t="shared" si="21"/>
        <v>8.8499169091730412</v>
      </c>
      <c r="L25" s="209" t="s">
        <v>187</v>
      </c>
      <c r="M25" s="210">
        <f>+S23</f>
        <v>94.093224121407147</v>
      </c>
      <c r="O25" t="s">
        <v>193</v>
      </c>
      <c r="P25" s="51">
        <f>EXP(S21)</f>
        <v>1.6542545619262854</v>
      </c>
    </row>
    <row r="26" spans="1:20" ht="15.75" thickBot="1" x14ac:dyDescent="0.3">
      <c r="A26" s="309"/>
      <c r="B26" s="310"/>
      <c r="C26" s="310"/>
      <c r="D26" s="311"/>
      <c r="E26" s="197">
        <f>SUM(E20:E25)</f>
        <v>0</v>
      </c>
      <c r="F26" s="197">
        <f t="shared" ref="F26" si="22">SUM(F20:F25)</f>
        <v>0</v>
      </c>
      <c r="G26" s="197">
        <f t="shared" ref="G26" si="23">SUM(G20:G25)</f>
        <v>17.5</v>
      </c>
      <c r="H26" s="197">
        <f t="shared" ref="H26" si="24">SUM(H20:H25)</f>
        <v>1.453025195433479</v>
      </c>
      <c r="I26" s="197">
        <f t="shared" ref="I26" si="25">SUM(I20:I25)</f>
        <v>4.8914179375100844</v>
      </c>
      <c r="J26" s="215">
        <f>SUM(J20:J25)</f>
        <v>29.509101062820143</v>
      </c>
      <c r="L26" s="211" t="s">
        <v>189</v>
      </c>
      <c r="M26" s="212">
        <f>+$P$25*EXP($S$20*7)</f>
        <v>11.703847882849164</v>
      </c>
    </row>
    <row r="27" spans="1:20" ht="16.5" thickTop="1" thickBot="1" x14ac:dyDescent="0.3"/>
    <row r="28" spans="1:20" ht="15.75" thickTop="1" x14ac:dyDescent="0.25">
      <c r="A28" s="198" t="s">
        <v>160</v>
      </c>
      <c r="B28" s="199" t="s">
        <v>161</v>
      </c>
      <c r="C28" s="199" t="s">
        <v>173</v>
      </c>
      <c r="D28" s="199" t="s">
        <v>175</v>
      </c>
      <c r="E28" s="199" t="s">
        <v>162</v>
      </c>
      <c r="F28" s="199" t="s">
        <v>163</v>
      </c>
      <c r="G28" s="199" t="s">
        <v>164</v>
      </c>
      <c r="H28" s="199" t="s">
        <v>165</v>
      </c>
      <c r="I28" s="199" t="s">
        <v>166</v>
      </c>
      <c r="J28" s="200" t="s">
        <v>195</v>
      </c>
      <c r="L28" s="201" t="s">
        <v>172</v>
      </c>
      <c r="M28" s="202">
        <v>6</v>
      </c>
      <c r="O28" s="9" t="s">
        <v>192</v>
      </c>
      <c r="S28" s="14" t="s">
        <v>195</v>
      </c>
      <c r="T28" s="216" t="s">
        <v>194</v>
      </c>
    </row>
    <row r="29" spans="1:20" x14ac:dyDescent="0.25">
      <c r="A29" s="196">
        <v>1</v>
      </c>
      <c r="B29" s="59">
        <v>2.4</v>
      </c>
      <c r="C29" s="59">
        <f>LN(A29)</f>
        <v>0</v>
      </c>
      <c r="D29" s="59">
        <f>LN(B29)</f>
        <v>0.87546873735389985</v>
      </c>
      <c r="E29" s="59">
        <f>+C29-$M$30</f>
        <v>-1.0965418686683501</v>
      </c>
      <c r="F29" s="59">
        <f>+D29-$M$32</f>
        <v>-0.60616534175498749</v>
      </c>
      <c r="G29" s="59">
        <f>+E29^2</f>
        <v>1.2024040697426772</v>
      </c>
      <c r="H29" s="59">
        <f>+F29^2</f>
        <v>0.36743642154494077</v>
      </c>
      <c r="I29" s="59">
        <f>+E29*F29</f>
        <v>0.6646856765700031</v>
      </c>
      <c r="J29" s="70">
        <f>+$P$34*A29^$S$29</f>
        <v>1.9788154630818096</v>
      </c>
      <c r="L29" s="203" t="s">
        <v>177</v>
      </c>
      <c r="M29" s="70">
        <f>SUM(C29:C34)</f>
        <v>6.5792512120101012</v>
      </c>
      <c r="O29" t="s">
        <v>179</v>
      </c>
      <c r="P29" s="175">
        <f>+I35</f>
        <v>1.600019131109875</v>
      </c>
      <c r="Q29" s="208" t="s">
        <v>180</v>
      </c>
      <c r="R29" s="175">
        <f>+G35</f>
        <v>2.1954820014961616</v>
      </c>
      <c r="S29" s="175">
        <f>+P29/R29</f>
        <v>0.72877806787735233</v>
      </c>
    </row>
    <row r="30" spans="1:20" x14ac:dyDescent="0.25">
      <c r="A30" s="196">
        <v>2</v>
      </c>
      <c r="B30" s="59">
        <v>3</v>
      </c>
      <c r="C30" s="59">
        <f t="shared" ref="C30:C34" si="26">LN(A30)</f>
        <v>0.69314718055994529</v>
      </c>
      <c r="D30" s="59">
        <f t="shared" ref="D30:D34" si="27">LN(B30)</f>
        <v>1.0986122886681098</v>
      </c>
      <c r="E30" s="59">
        <f t="shared" ref="E30:E34" si="28">+C30-$M$30</f>
        <v>-0.40339468810840484</v>
      </c>
      <c r="F30" s="59">
        <f t="shared" ref="F30:F34" si="29">+D30-$M$32</f>
        <v>-0.38302179044077755</v>
      </c>
      <c r="G30" s="59">
        <f t="shared" ref="G30:G34" si="30">+E30^2</f>
        <v>0.16272727439407722</v>
      </c>
      <c r="H30" s="59">
        <f t="shared" ref="H30:H34" si="31">+F30^2</f>
        <v>0.14670569195245892</v>
      </c>
      <c r="I30" s="59">
        <f t="shared" ref="I30:I34" si="32">+E30*F30</f>
        <v>0.15450895569358025</v>
      </c>
      <c r="J30" s="70">
        <f t="shared" ref="J30:J34" si="33">+$P$34*A30^$S$29</f>
        <v>3.2793619555196427</v>
      </c>
      <c r="L30" s="203" t="s">
        <v>170</v>
      </c>
      <c r="M30" s="70">
        <f>+M29/M28</f>
        <v>1.0965418686683501</v>
      </c>
      <c r="O30" t="s">
        <v>181</v>
      </c>
      <c r="P30" s="175">
        <f>+M32</f>
        <v>1.4816340791088873</v>
      </c>
      <c r="Q30" s="208" t="s">
        <v>182</v>
      </c>
      <c r="R30" s="175">
        <f>+S29*M30</f>
        <v>0.7991356643947416</v>
      </c>
      <c r="S30" s="175">
        <f>+P30-R30</f>
        <v>0.68249841471414574</v>
      </c>
    </row>
    <row r="31" spans="1:20" x14ac:dyDescent="0.25">
      <c r="A31" s="196">
        <v>3</v>
      </c>
      <c r="B31" s="59">
        <v>3.6</v>
      </c>
      <c r="C31" s="59">
        <f t="shared" si="26"/>
        <v>1.0986122886681098</v>
      </c>
      <c r="D31" s="59">
        <f t="shared" si="27"/>
        <v>1.2809338454620642</v>
      </c>
      <c r="E31" s="59">
        <f t="shared" si="28"/>
        <v>2.070419999759654E-3</v>
      </c>
      <c r="F31" s="59">
        <f t="shared" si="29"/>
        <v>-0.2007002336468231</v>
      </c>
      <c r="G31" s="59">
        <f t="shared" si="30"/>
        <v>4.2866389754047659E-6</v>
      </c>
      <c r="H31" s="59">
        <f t="shared" si="31"/>
        <v>4.0280583785889383E-2</v>
      </c>
      <c r="I31" s="59">
        <f t="shared" si="32"/>
        <v>-4.1553377769881799E-4</v>
      </c>
      <c r="J31" s="70">
        <f t="shared" si="33"/>
        <v>4.4067742348916736</v>
      </c>
      <c r="L31" s="203" t="s">
        <v>176</v>
      </c>
      <c r="M31" s="70">
        <f>SUM(D29:D34)</f>
        <v>8.8898044746533245</v>
      </c>
      <c r="O31" t="s">
        <v>184</v>
      </c>
      <c r="P31" s="175">
        <f>+I35</f>
        <v>1.600019131109875</v>
      </c>
      <c r="Q31" s="208" t="s">
        <v>180</v>
      </c>
      <c r="R31" s="175">
        <f>SQRT(G35)*SQRT(H35)</f>
        <v>1.7860824908986275</v>
      </c>
      <c r="S31" s="175">
        <f>+P31/R31</f>
        <v>0.89582599866642287</v>
      </c>
    </row>
    <row r="32" spans="1:20" x14ac:dyDescent="0.25">
      <c r="A32" s="196">
        <v>4</v>
      </c>
      <c r="B32" s="59">
        <v>4</v>
      </c>
      <c r="C32" s="59">
        <f t="shared" si="26"/>
        <v>1.3862943611198906</v>
      </c>
      <c r="D32" s="59">
        <f t="shared" si="27"/>
        <v>1.3862943611198906</v>
      </c>
      <c r="E32" s="59">
        <f t="shared" si="28"/>
        <v>0.28975249245154044</v>
      </c>
      <c r="F32" s="59">
        <f t="shared" si="29"/>
        <v>-9.5339717988996764E-2</v>
      </c>
      <c r="G32" s="59">
        <f t="shared" si="30"/>
        <v>8.395650688188E-2</v>
      </c>
      <c r="H32" s="59">
        <f t="shared" si="31"/>
        <v>9.0896618262214339E-3</v>
      </c>
      <c r="I32" s="59">
        <f t="shared" si="32"/>
        <v>-2.7624920916938779E-2</v>
      </c>
      <c r="J32" s="70">
        <f t="shared" si="33"/>
        <v>5.434672932341547</v>
      </c>
      <c r="L32" s="203" t="s">
        <v>171</v>
      </c>
      <c r="M32" s="70">
        <f>+M31/M28</f>
        <v>1.4816340791088873</v>
      </c>
      <c r="O32" t="s">
        <v>186</v>
      </c>
      <c r="P32" s="175">
        <f>+S31^2</f>
        <v>0.80250421988669385</v>
      </c>
      <c r="Q32" s="208" t="s">
        <v>188</v>
      </c>
      <c r="R32" s="175">
        <v>100</v>
      </c>
      <c r="S32" s="175">
        <f>+P32*R32</f>
        <v>80.250421988669387</v>
      </c>
    </row>
    <row r="33" spans="1:16" x14ac:dyDescent="0.25">
      <c r="A33" s="196">
        <v>5</v>
      </c>
      <c r="B33" s="59">
        <v>7</v>
      </c>
      <c r="C33" s="59">
        <f t="shared" si="26"/>
        <v>1.6094379124341003</v>
      </c>
      <c r="D33" s="59">
        <f t="shared" si="27"/>
        <v>1.9459101490553132</v>
      </c>
      <c r="E33" s="59">
        <f t="shared" si="28"/>
        <v>0.51289604376575015</v>
      </c>
      <c r="F33" s="59">
        <f t="shared" si="29"/>
        <v>0.4642760699464259</v>
      </c>
      <c r="G33" s="59">
        <f t="shared" si="30"/>
        <v>0.26306235171055831</v>
      </c>
      <c r="H33" s="59">
        <f t="shared" si="31"/>
        <v>0.21555226912489855</v>
      </c>
      <c r="I33" s="59">
        <f t="shared" si="32"/>
        <v>0.23812535949063254</v>
      </c>
      <c r="J33" s="70">
        <f t="shared" si="33"/>
        <v>6.394392707681769</v>
      </c>
      <c r="L33" s="209" t="s">
        <v>185</v>
      </c>
      <c r="M33" s="210">
        <f>+S31</f>
        <v>0.89582599866642287</v>
      </c>
    </row>
    <row r="34" spans="1:16" x14ac:dyDescent="0.25">
      <c r="A34" s="196">
        <v>6</v>
      </c>
      <c r="B34" s="59">
        <v>10</v>
      </c>
      <c r="C34" s="59">
        <f t="shared" si="26"/>
        <v>1.791759469228055</v>
      </c>
      <c r="D34" s="59">
        <f t="shared" si="27"/>
        <v>2.3025850929940459</v>
      </c>
      <c r="E34" s="59">
        <f t="shared" si="28"/>
        <v>0.69521760055970483</v>
      </c>
      <c r="F34" s="59">
        <f t="shared" si="29"/>
        <v>0.82095101388515856</v>
      </c>
      <c r="G34" s="59">
        <f t="shared" si="30"/>
        <v>0.4833275121279933</v>
      </c>
      <c r="H34" s="59">
        <f t="shared" si="31"/>
        <v>0.67396056719906983</v>
      </c>
      <c r="I34" s="59">
        <f t="shared" si="32"/>
        <v>0.57073959405029684</v>
      </c>
      <c r="J34" s="70">
        <f t="shared" si="33"/>
        <v>7.3030598568101412</v>
      </c>
      <c r="L34" s="209" t="s">
        <v>187</v>
      </c>
      <c r="M34" s="210">
        <f>+S32</f>
        <v>80.250421988669387</v>
      </c>
      <c r="O34" t="s">
        <v>196</v>
      </c>
      <c r="P34" s="51">
        <f>EXP(S30)</f>
        <v>1.9788154630818096</v>
      </c>
    </row>
    <row r="35" spans="1:16" ht="15.75" thickBot="1" x14ac:dyDescent="0.3">
      <c r="A35" s="309"/>
      <c r="B35" s="310"/>
      <c r="C35" s="310"/>
      <c r="D35" s="311"/>
      <c r="E35" s="197">
        <f>SUM(E29:E34)</f>
        <v>0</v>
      </c>
      <c r="F35" s="197">
        <f t="shared" ref="F35" si="34">SUM(F29:F34)</f>
        <v>0</v>
      </c>
      <c r="G35" s="197">
        <f t="shared" ref="G35" si="35">SUM(G29:G34)</f>
        <v>2.1954820014961616</v>
      </c>
      <c r="H35" s="197">
        <f t="shared" ref="H35" si="36">SUM(H29:H34)</f>
        <v>1.453025195433479</v>
      </c>
      <c r="I35" s="197">
        <f t="shared" ref="I35" si="37">SUM(I29:I34)</f>
        <v>1.600019131109875</v>
      </c>
      <c r="J35" s="213">
        <f>SUM(J29:J34)</f>
        <v>28.797077150326583</v>
      </c>
      <c r="L35" s="211" t="s">
        <v>189</v>
      </c>
      <c r="M35" s="212">
        <f>+$P$34*7^$S$29</f>
        <v>8.1713575136089069</v>
      </c>
    </row>
    <row r="36" spans="1:16" ht="15.75" thickTop="1" x14ac:dyDescent="0.25"/>
  </sheetData>
  <mergeCells count="7">
    <mergeCell ref="S1:T1"/>
    <mergeCell ref="P19:R19"/>
    <mergeCell ref="A8:D8"/>
    <mergeCell ref="A17:D17"/>
    <mergeCell ref="A26:D26"/>
    <mergeCell ref="A35:D35"/>
    <mergeCell ref="S10:T10"/>
  </mergeCells>
  <phoneticPr fontId="4" type="noConversion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3A4C-6787-487D-8FFF-EF7422B4F3C3}">
  <sheetPr>
    <tabColor theme="8" tint="0.39997558519241921"/>
  </sheetPr>
  <dimension ref="A1:Q34"/>
  <sheetViews>
    <sheetView showGridLines="0" zoomScaleNormal="100" workbookViewId="0">
      <selection sqref="A1:XFD1048576"/>
    </sheetView>
  </sheetViews>
  <sheetFormatPr baseColWidth="10" defaultRowHeight="15" x14ac:dyDescent="0.25"/>
  <cols>
    <col min="5" max="5" width="18.42578125" customWidth="1"/>
    <col min="9" max="10" width="12" bestFit="1" customWidth="1"/>
    <col min="13" max="13" width="11.5703125" customWidth="1"/>
    <col min="14" max="14" width="10.28515625" customWidth="1"/>
  </cols>
  <sheetData>
    <row r="1" spans="1:17" x14ac:dyDescent="0.25">
      <c r="A1" s="255" t="s">
        <v>142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</row>
    <row r="2" spans="1:17" x14ac:dyDescent="0.25">
      <c r="A2" s="302" t="s">
        <v>124</v>
      </c>
      <c r="B2" s="302"/>
      <c r="C2" s="302"/>
      <c r="D2" s="302"/>
      <c r="E2" s="302"/>
      <c r="F2" s="179" t="s">
        <v>126</v>
      </c>
      <c r="G2" s="2">
        <v>25</v>
      </c>
      <c r="H2" s="1"/>
    </row>
    <row r="3" spans="1:17" x14ac:dyDescent="0.25">
      <c r="A3" s="302" t="s">
        <v>143</v>
      </c>
      <c r="B3" s="302"/>
      <c r="C3" s="302"/>
      <c r="D3" s="302"/>
      <c r="E3" s="302"/>
      <c r="F3" s="179" t="s">
        <v>127</v>
      </c>
      <c r="G3" s="182">
        <v>7.0000000000000007E-2</v>
      </c>
      <c r="H3" s="183">
        <f>+G3*1</f>
        <v>7.0000000000000007E-2</v>
      </c>
    </row>
    <row r="4" spans="1:17" x14ac:dyDescent="0.25">
      <c r="A4" s="302" t="s">
        <v>144</v>
      </c>
      <c r="B4" s="302"/>
      <c r="C4" s="302"/>
      <c r="D4" s="302"/>
      <c r="E4" s="302"/>
      <c r="F4" s="179" t="s">
        <v>128</v>
      </c>
      <c r="G4" s="1"/>
      <c r="H4" s="183">
        <f>1-H3</f>
        <v>0.92999999999999994</v>
      </c>
    </row>
    <row r="5" spans="1:17" x14ac:dyDescent="0.25">
      <c r="A5" s="178"/>
      <c r="B5" s="178"/>
      <c r="C5" s="178"/>
      <c r="D5" s="178"/>
      <c r="E5" s="178"/>
      <c r="F5" s="178"/>
    </row>
    <row r="6" spans="1:17" x14ac:dyDescent="0.25">
      <c r="A6" s="303" t="s">
        <v>125</v>
      </c>
      <c r="B6" s="303"/>
      <c r="C6" s="303"/>
      <c r="D6" s="303"/>
      <c r="E6" s="303"/>
      <c r="F6" s="177"/>
    </row>
    <row r="7" spans="1:17" x14ac:dyDescent="0.25">
      <c r="A7" s="180" t="s">
        <v>145</v>
      </c>
      <c r="K7" t="s">
        <v>129</v>
      </c>
      <c r="M7" t="s">
        <v>130</v>
      </c>
      <c r="N7">
        <f>+G2*H3</f>
        <v>1.7500000000000002</v>
      </c>
    </row>
    <row r="8" spans="1:17" x14ac:dyDescent="0.25">
      <c r="A8" s="180" t="s">
        <v>146</v>
      </c>
      <c r="K8" t="s">
        <v>131</v>
      </c>
      <c r="M8" t="s">
        <v>132</v>
      </c>
      <c r="N8" s="181">
        <f>G2*H3*H4</f>
        <v>1.6275000000000002</v>
      </c>
    </row>
    <row r="9" spans="1:17" x14ac:dyDescent="0.25">
      <c r="A9" s="180" t="s">
        <v>147</v>
      </c>
      <c r="K9" t="s">
        <v>133</v>
      </c>
      <c r="N9" s="181">
        <f>SQRT(G2*H3*H4)</f>
        <v>1.2757350822173075</v>
      </c>
    </row>
    <row r="11" spans="1:17" x14ac:dyDescent="0.25">
      <c r="A11" s="219" t="s">
        <v>135</v>
      </c>
      <c r="B11" s="219"/>
      <c r="C11" s="219"/>
      <c r="D11" s="219"/>
      <c r="E11" s="219"/>
      <c r="F11" s="184" t="s">
        <v>134</v>
      </c>
      <c r="G11" s="2">
        <v>2</v>
      </c>
      <c r="H11" s="185"/>
      <c r="I11" s="9"/>
      <c r="J11" s="9"/>
      <c r="K11" s="9"/>
      <c r="L11" s="9"/>
    </row>
    <row r="12" spans="1:17" x14ac:dyDescent="0.25">
      <c r="A12" s="301" t="s">
        <v>137</v>
      </c>
      <c r="B12" s="301"/>
      <c r="C12" s="301"/>
      <c r="D12" s="301"/>
      <c r="E12" s="301"/>
      <c r="G12" s="1"/>
      <c r="H12" s="185"/>
    </row>
    <row r="13" spans="1:17" x14ac:dyDescent="0.25">
      <c r="G13" s="1"/>
      <c r="I13" s="3">
        <f>(FACT($G$2))/((FACT($G$11))*(FACT($G$2-$G$11)))</f>
        <v>299.99999999999994</v>
      </c>
      <c r="J13" s="1">
        <f>+I13</f>
        <v>299.99999999999994</v>
      </c>
      <c r="K13" s="1">
        <f>+$H$3^$G$11</f>
        <v>4.9000000000000007E-3</v>
      </c>
      <c r="L13" s="1">
        <f>+$H$4^($G$2-$G$11)</f>
        <v>0.18841167770262096</v>
      </c>
      <c r="M13" s="186">
        <f>+J13*K13*L13</f>
        <v>0.27696516622285283</v>
      </c>
    </row>
    <row r="14" spans="1:17" x14ac:dyDescent="0.25">
      <c r="G14" s="1"/>
    </row>
    <row r="15" spans="1:17" x14ac:dyDescent="0.25">
      <c r="A15" s="219" t="s">
        <v>136</v>
      </c>
      <c r="B15" s="219"/>
      <c r="C15" s="219"/>
      <c r="D15" s="219"/>
      <c r="E15" s="219"/>
      <c r="F15" s="184" t="s">
        <v>134</v>
      </c>
      <c r="G15" s="2">
        <v>0</v>
      </c>
      <c r="I15" s="3">
        <f>(FACT($G$2))/((FACT($G$15))*(FACT($G$2-$G$15)))</f>
        <v>1</v>
      </c>
      <c r="J15" s="1">
        <f>+I15</f>
        <v>1</v>
      </c>
      <c r="K15" s="1">
        <f>+$H$3^$G$15</f>
        <v>1</v>
      </c>
      <c r="L15" s="1">
        <f>+$H$4^($G$2-$G$15)</f>
        <v>0.16295726004499683</v>
      </c>
      <c r="M15" s="51">
        <f>+J15*K15*L15</f>
        <v>0.16295726004499683</v>
      </c>
    </row>
    <row r="16" spans="1:17" x14ac:dyDescent="0.25">
      <c r="A16" s="301" t="s">
        <v>138</v>
      </c>
      <c r="B16" s="301"/>
      <c r="C16" s="301"/>
      <c r="D16" s="301"/>
      <c r="E16" s="301"/>
      <c r="G16" s="2">
        <v>1</v>
      </c>
      <c r="I16" s="3">
        <f>(FACT($G$2))/((FACT($G$16))*(FACT($G$2-$G$16)))</f>
        <v>24.999999999999996</v>
      </c>
      <c r="J16" s="1">
        <f t="shared" ref="J16:J17" si="0">+I16</f>
        <v>24.999999999999996</v>
      </c>
      <c r="K16" s="1">
        <f>+$H$3^$G$16</f>
        <v>7.0000000000000007E-2</v>
      </c>
      <c r="L16" s="1">
        <f>+$H$4^($G$2-$G$16)</f>
        <v>0.1752228602634375</v>
      </c>
      <c r="M16" s="51">
        <f t="shared" ref="M16:M17" si="1">+J16*K16*L16</f>
        <v>0.30664000546101561</v>
      </c>
    </row>
    <row r="17" spans="1:13" ht="15.75" thickBot="1" x14ac:dyDescent="0.3">
      <c r="G17" s="2">
        <v>2</v>
      </c>
      <c r="I17" s="3">
        <f>(FACT($G$2))/((FACT($G$17))*(FACT($G$2-$G$17)))</f>
        <v>299.99999999999994</v>
      </c>
      <c r="J17" s="1">
        <f t="shared" si="0"/>
        <v>299.99999999999994</v>
      </c>
      <c r="K17" s="1">
        <f>+$H$3^$G$17</f>
        <v>4.9000000000000007E-3</v>
      </c>
      <c r="L17" s="1">
        <f>+$H$4^($G$2-$G$17)</f>
        <v>0.18841167770262096</v>
      </c>
      <c r="M17" s="51">
        <f t="shared" si="1"/>
        <v>0.27696516622285283</v>
      </c>
    </row>
    <row r="18" spans="1:13" ht="15.75" thickTop="1" x14ac:dyDescent="0.25">
      <c r="G18" s="1"/>
      <c r="M18" s="187">
        <f>+M15+M16+M17</f>
        <v>0.74656243172886527</v>
      </c>
    </row>
    <row r="19" spans="1:13" x14ac:dyDescent="0.25">
      <c r="G19" s="1"/>
      <c r="M19" s="188"/>
    </row>
    <row r="20" spans="1:13" x14ac:dyDescent="0.25">
      <c r="A20" s="219" t="s">
        <v>141</v>
      </c>
      <c r="B20" s="219"/>
      <c r="C20" s="219"/>
      <c r="D20" s="219"/>
      <c r="E20" s="219"/>
      <c r="F20" s="184" t="s">
        <v>134</v>
      </c>
      <c r="G20" s="2">
        <v>0</v>
      </c>
      <c r="I20" s="3">
        <f>(FACT($G$2))/((FACT($G$20))*(FACT($G$2-$G$20)))</f>
        <v>1</v>
      </c>
      <c r="J20" s="1">
        <f>+I20</f>
        <v>1</v>
      </c>
      <c r="K20" s="1">
        <f>+$H$3^$G$20</f>
        <v>1</v>
      </c>
      <c r="L20" s="1">
        <f>+$H$4^($G$2-$G$20)</f>
        <v>0.16295726004499683</v>
      </c>
      <c r="M20" s="51">
        <f>+J20*K20*L20</f>
        <v>0.16295726004499683</v>
      </c>
    </row>
    <row r="21" spans="1:13" x14ac:dyDescent="0.25">
      <c r="A21" s="301" t="s">
        <v>139</v>
      </c>
      <c r="B21" s="301"/>
      <c r="C21" s="301"/>
      <c r="D21" s="301"/>
      <c r="E21" s="301"/>
      <c r="G21" s="2">
        <v>1</v>
      </c>
      <c r="I21" s="3">
        <f>(FACT($G$2))/((FACT($G$21))*(FACT($G$2-$G$21)))</f>
        <v>24.999999999999996</v>
      </c>
      <c r="J21" s="1">
        <f t="shared" ref="J21" si="2">+I21</f>
        <v>24.999999999999996</v>
      </c>
      <c r="K21" s="1">
        <f>+$H$3^$G$21</f>
        <v>7.0000000000000007E-2</v>
      </c>
      <c r="L21" s="1">
        <f>+$H$4^($G$2-$G$21)</f>
        <v>0.1752228602634375</v>
      </c>
      <c r="M21" s="51">
        <f t="shared" ref="M21" si="3">+J21*K21*L21</f>
        <v>0.30664000546101561</v>
      </c>
    </row>
    <row r="22" spans="1:13" ht="15.75" thickBot="1" x14ac:dyDescent="0.3">
      <c r="G22" s="2"/>
      <c r="I22" s="3"/>
      <c r="J22" s="1"/>
      <c r="K22" s="1"/>
      <c r="L22" s="1"/>
      <c r="M22" s="51"/>
    </row>
    <row r="23" spans="1:13" ht="15.75" thickTop="1" x14ac:dyDescent="0.25">
      <c r="K23" s="305" t="s">
        <v>140</v>
      </c>
      <c r="L23" s="305"/>
      <c r="M23" s="187">
        <f>1-(+M20+M21+M22)</f>
        <v>0.53040273449398756</v>
      </c>
    </row>
    <row r="25" spans="1:13" x14ac:dyDescent="0.25">
      <c r="A25" s="218" t="s">
        <v>148</v>
      </c>
      <c r="B25" s="218"/>
      <c r="C25" s="218"/>
      <c r="D25" s="218"/>
      <c r="E25" s="218"/>
    </row>
    <row r="26" spans="1:13" x14ac:dyDescent="0.25">
      <c r="A26" s="301" t="s">
        <v>149</v>
      </c>
      <c r="B26" s="301"/>
      <c r="C26" s="301"/>
      <c r="D26" s="301"/>
      <c r="E26" s="301"/>
      <c r="F26" s="184" t="s">
        <v>150</v>
      </c>
      <c r="G26" s="2">
        <v>3</v>
      </c>
      <c r="I26" s="3">
        <f>(FACT($G$2))/((FACT($G$26))*(FACT($G$2-$G$26)))</f>
        <v>2299.9999999999995</v>
      </c>
      <c r="J26" s="1">
        <f>+I26</f>
        <v>2299.9999999999995</v>
      </c>
      <c r="K26" s="1">
        <f>+$H$3^$G$26</f>
        <v>3.430000000000001E-4</v>
      </c>
      <c r="L26" s="1">
        <f>+$H$4^($G$2-$G$26)</f>
        <v>0.20259320183077525</v>
      </c>
      <c r="M26" s="51">
        <f>+J26*K26*L26</f>
        <v>0.15982577692429861</v>
      </c>
    </row>
    <row r="27" spans="1:13" x14ac:dyDescent="0.25">
      <c r="F27" s="184" t="s">
        <v>151</v>
      </c>
      <c r="G27" s="2">
        <v>4</v>
      </c>
      <c r="I27" s="3">
        <f>(FACT($G$2))/((FACT($G$27))*(FACT($G$2-$G$27)))</f>
        <v>12649.999999999998</v>
      </c>
      <c r="J27" s="1">
        <f t="shared" ref="J27:J28" si="4">+I27</f>
        <v>12649.999999999998</v>
      </c>
      <c r="K27" s="1">
        <f>+$H$3^$G$27</f>
        <v>2.4010000000000006E-5</v>
      </c>
      <c r="L27" s="1">
        <f>+$H$4^($G$2-$G$27)</f>
        <v>0.21784215250620997</v>
      </c>
      <c r="M27" s="51">
        <f t="shared" ref="M27:M28" si="5">+J27*K27*L27</f>
        <v>6.6164434533177385E-2</v>
      </c>
    </row>
    <row r="28" spans="1:13" ht="15.75" thickBot="1" x14ac:dyDescent="0.3">
      <c r="F28" s="184" t="s">
        <v>152</v>
      </c>
      <c r="G28" s="2">
        <v>5</v>
      </c>
      <c r="I28" s="3">
        <f>(FACT($G$2))/((FACT($G$28))*(FACT($G$2-$G$28)))</f>
        <v>53129.999999999993</v>
      </c>
      <c r="J28" s="1">
        <f t="shared" si="4"/>
        <v>53129.999999999993</v>
      </c>
      <c r="K28" s="1">
        <f>+$H$3^$G$28</f>
        <v>1.6807000000000005E-6</v>
      </c>
      <c r="L28" s="1">
        <f>+$H$4^($G$2-$G$28)</f>
        <v>0.23423887366259136</v>
      </c>
      <c r="M28" s="51">
        <f t="shared" si="5"/>
        <v>2.0916498658875432E-2</v>
      </c>
    </row>
    <row r="29" spans="1:13" ht="15.75" thickTop="1" x14ac:dyDescent="0.25">
      <c r="M29" s="187">
        <f>+M26+M27+M28</f>
        <v>0.24690671011635143</v>
      </c>
    </row>
    <row r="30" spans="1:13" x14ac:dyDescent="0.25">
      <c r="L30" s="190" t="s">
        <v>157</v>
      </c>
    </row>
    <row r="31" spans="1:13" x14ac:dyDescent="0.25">
      <c r="A31" s="219" t="s">
        <v>153</v>
      </c>
      <c r="B31" s="219"/>
      <c r="C31" s="219"/>
      <c r="D31" s="219"/>
      <c r="E31" s="219"/>
      <c r="F31" s="189" t="s">
        <v>155</v>
      </c>
      <c r="G31" s="2">
        <v>0</v>
      </c>
      <c r="I31" s="3">
        <v>1</v>
      </c>
      <c r="J31" s="1">
        <f>+I31</f>
        <v>1</v>
      </c>
      <c r="K31" s="1">
        <f>+$H$3^$G$31</f>
        <v>1</v>
      </c>
      <c r="L31" s="175">
        <f>+$H$4</f>
        <v>0.92999999999999994</v>
      </c>
      <c r="M31">
        <f>+G32</f>
        <v>0.1</v>
      </c>
    </row>
    <row r="32" spans="1:13" ht="15.75" thickBot="1" x14ac:dyDescent="0.3">
      <c r="A32" s="304" t="s">
        <v>156</v>
      </c>
      <c r="B32" s="304"/>
      <c r="C32" s="304"/>
      <c r="D32" s="304"/>
      <c r="E32" s="304"/>
      <c r="F32" s="189" t="s">
        <v>154</v>
      </c>
      <c r="G32" s="2">
        <v>0.1</v>
      </c>
      <c r="K32" s="1" t="s">
        <v>158</v>
      </c>
      <c r="L32" s="1">
        <f>+M31</f>
        <v>0.1</v>
      </c>
      <c r="M32">
        <f>LN(L32)</f>
        <v>-2.3025850929940455</v>
      </c>
    </row>
    <row r="33" spans="11:13" ht="16.5" thickTop="1" thickBot="1" x14ac:dyDescent="0.3">
      <c r="K33" s="1" t="s">
        <v>158</v>
      </c>
      <c r="L33" s="175">
        <f>+L31</f>
        <v>0.92999999999999994</v>
      </c>
      <c r="M33" s="191">
        <f>LN(L33)</f>
        <v>-7.2570692834835498E-2</v>
      </c>
    </row>
    <row r="34" spans="11:13" ht="15.75" thickTop="1" x14ac:dyDescent="0.25">
      <c r="K34" s="1" t="s">
        <v>126</v>
      </c>
      <c r="L34" s="1"/>
      <c r="M34" s="187">
        <f>+M32/M33</f>
        <v>31.728856416384591</v>
      </c>
    </row>
  </sheetData>
  <mergeCells count="16">
    <mergeCell ref="A32:E32"/>
    <mergeCell ref="A20:E20"/>
    <mergeCell ref="A21:E21"/>
    <mergeCell ref="K23:L23"/>
    <mergeCell ref="A26:E26"/>
    <mergeCell ref="A25:E25"/>
    <mergeCell ref="A31:E31"/>
    <mergeCell ref="A11:E11"/>
    <mergeCell ref="A12:E12"/>
    <mergeCell ref="A16:E16"/>
    <mergeCell ref="A15:E15"/>
    <mergeCell ref="A1:Q1"/>
    <mergeCell ref="A2:E2"/>
    <mergeCell ref="A3:E3"/>
    <mergeCell ref="A6:E6"/>
    <mergeCell ref="A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4</vt:i4>
      </vt:variant>
    </vt:vector>
  </HeadingPairs>
  <TitlesOfParts>
    <vt:vector size="13" baseType="lpstr">
      <vt:lpstr>MENU</vt:lpstr>
      <vt:lpstr>Classe nodale</vt:lpstr>
      <vt:lpstr>Mediane</vt:lpstr>
      <vt:lpstr>Quartiles</vt:lpstr>
      <vt:lpstr>Indices LPF</vt:lpstr>
      <vt:lpstr>Taux evolution</vt:lpstr>
      <vt:lpstr>Moindre carré</vt:lpstr>
      <vt:lpstr>Correlation</vt:lpstr>
      <vt:lpstr>Loi binomiale</vt:lpstr>
      <vt:lpstr>ci_x_ni</vt:lpstr>
      <vt:lpstr>Data_1</vt:lpstr>
      <vt:lpstr>nb_copie</vt:lpstr>
      <vt:lpstr>ni_ci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LAMBERT</dc:creator>
  <cp:lastModifiedBy>Philippe LAMBERT</cp:lastModifiedBy>
  <dcterms:created xsi:type="dcterms:W3CDTF">2026-01-07T15:20:18Z</dcterms:created>
  <dcterms:modified xsi:type="dcterms:W3CDTF">2026-02-10T16:12:20Z</dcterms:modified>
</cp:coreProperties>
</file>