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5-Math-Financiére\00-Boite a outils\Sources temporaires\"/>
    </mc:Choice>
  </mc:AlternateContent>
  <xr:revisionPtr revIDLastSave="0" documentId="8_{AB1E90C5-4C2C-437D-AED8-D6A530A50093}" xr6:coauthVersionLast="47" xr6:coauthVersionMax="47" xr10:uidLastSave="{00000000-0000-0000-0000-000000000000}"/>
  <bookViews>
    <workbookView xWindow="23880" yWindow="-120" windowWidth="29040" windowHeight="15720" firstSheet="8" activeTab="10" xr2:uid="{87A7BE59-A4D1-4D51-B6FC-6205B313C44D}"/>
  </bookViews>
  <sheets>
    <sheet name="Mediane" sheetId="1" r:id="rId1"/>
    <sheet name="MENU" sheetId="16" r:id="rId2"/>
    <sheet name="Quartiles" sheetId="4" r:id="rId3"/>
    <sheet name="Indices LPF" sheetId="5" r:id="rId4"/>
    <sheet name="Taux evolution" sheetId="6" r:id="rId5"/>
    <sheet name="Classe nodale" sheetId="7" r:id="rId6"/>
    <sheet name="Moindre carré" sheetId="8" r:id="rId7"/>
    <sheet name="Loi binomiale" sheetId="9" r:id="rId8"/>
    <sheet name="Correlation" sheetId="17" r:id="rId9"/>
    <sheet name="Echantillonage" sheetId="13" r:id="rId10"/>
    <sheet name="Estimation 1" sheetId="12" r:id="rId11"/>
    <sheet name="Estimation 2" sheetId="14" r:id="rId12"/>
    <sheet name="Estimation 3" sheetId="15" r:id="rId13"/>
  </sheets>
  <definedNames>
    <definedName name="ci_x_ni">Mediane!$M$5:$M$9</definedName>
    <definedName name="Data_1">Mediane!$A$5:$M$9</definedName>
    <definedName name="nb_copie">Mediane!$C$5:$C$9</definedName>
    <definedName name="ni_ci">Mediane!$J$5:$J$20</definedName>
    <definedName name="serie_c03">#REF!</definedName>
    <definedName name="serie_c04">#REF!</definedName>
    <definedName name="serie_c07">#REF!</definedName>
    <definedName name="serie_c10">#REF!</definedName>
    <definedName name="serie_c13">#REF!</definedName>
    <definedName name="theoreme">Echantillonage!$V$3:$V$8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7" l="1"/>
  <c r="J35" i="17"/>
  <c r="J30" i="17"/>
  <c r="J31" i="17"/>
  <c r="J32" i="17"/>
  <c r="J33" i="17"/>
  <c r="J34" i="17"/>
  <c r="J29" i="17"/>
  <c r="P34" i="17"/>
  <c r="M26" i="17"/>
  <c r="J21" i="17"/>
  <c r="J22" i="17"/>
  <c r="J23" i="17"/>
  <c r="J24" i="17"/>
  <c r="J25" i="17"/>
  <c r="J20" i="17"/>
  <c r="P25" i="17"/>
  <c r="M34" i="17"/>
  <c r="M33" i="17"/>
  <c r="R31" i="17"/>
  <c r="P31" i="17"/>
  <c r="S31" i="17" s="1"/>
  <c r="P32" i="17" s="1"/>
  <c r="S32" i="17" s="1"/>
  <c r="R30" i="17"/>
  <c r="P30" i="17"/>
  <c r="S30" i="17" s="1"/>
  <c r="S29" i="17"/>
  <c r="R29" i="17"/>
  <c r="P29" i="17"/>
  <c r="M25" i="17"/>
  <c r="M24" i="17"/>
  <c r="R22" i="17"/>
  <c r="P22" i="17"/>
  <c r="S22" i="17" s="1"/>
  <c r="P23" i="17" s="1"/>
  <c r="S23" i="17" s="1"/>
  <c r="P21" i="17"/>
  <c r="R20" i="17"/>
  <c r="P20" i="17"/>
  <c r="S20" i="17" s="1"/>
  <c r="R21" i="17" s="1"/>
  <c r="M17" i="17"/>
  <c r="J17" i="17"/>
  <c r="J12" i="17"/>
  <c r="J13" i="17"/>
  <c r="J14" i="17"/>
  <c r="J15" i="17"/>
  <c r="J16" i="17"/>
  <c r="J11" i="17"/>
  <c r="M16" i="17"/>
  <c r="M15" i="17"/>
  <c r="M8" i="17"/>
  <c r="J2" i="17"/>
  <c r="J8" i="17"/>
  <c r="R13" i="17"/>
  <c r="S13" i="17" s="1"/>
  <c r="P14" i="17" s="1"/>
  <c r="S14" i="17" s="1"/>
  <c r="P13" i="17"/>
  <c r="P12" i="17"/>
  <c r="S12" i="17" s="1"/>
  <c r="R11" i="17"/>
  <c r="P11" i="17"/>
  <c r="S11" i="17" s="1"/>
  <c r="R12" i="17" s="1"/>
  <c r="M7" i="17"/>
  <c r="M6" i="17"/>
  <c r="S5" i="17"/>
  <c r="P5" i="17"/>
  <c r="S4" i="17"/>
  <c r="R4" i="17"/>
  <c r="P4" i="17"/>
  <c r="J3" i="17"/>
  <c r="J4" i="17"/>
  <c r="J5" i="17"/>
  <c r="J6" i="17"/>
  <c r="J7" i="17"/>
  <c r="S3" i="17"/>
  <c r="R3" i="17"/>
  <c r="P3" i="17"/>
  <c r="F2" i="17"/>
  <c r="D30" i="17"/>
  <c r="D31" i="17"/>
  <c r="D32" i="17"/>
  <c r="D33" i="17"/>
  <c r="D34" i="17"/>
  <c r="D29" i="17"/>
  <c r="C30" i="17"/>
  <c r="C31" i="17"/>
  <c r="C32" i="17"/>
  <c r="C33" i="17"/>
  <c r="C34" i="17"/>
  <c r="C29" i="17"/>
  <c r="M20" i="17"/>
  <c r="C21" i="17"/>
  <c r="C22" i="17"/>
  <c r="C23" i="17"/>
  <c r="C24" i="17"/>
  <c r="C25" i="17"/>
  <c r="C20" i="17"/>
  <c r="F11" i="17"/>
  <c r="H11" i="17" s="1"/>
  <c r="C12" i="17"/>
  <c r="C13" i="17"/>
  <c r="C14" i="17"/>
  <c r="C15" i="17"/>
  <c r="C16" i="17"/>
  <c r="C11" i="17"/>
  <c r="M13" i="17"/>
  <c r="M14" i="17" s="1"/>
  <c r="F12" i="17" s="1"/>
  <c r="H12" i="17" s="1"/>
  <c r="M4" i="17"/>
  <c r="M5" i="17" s="1"/>
  <c r="F3" i="17" s="1"/>
  <c r="M2" i="17"/>
  <c r="M3" i="17" s="1"/>
  <c r="E4" i="17" s="1"/>
  <c r="I42" i="15"/>
  <c r="G42" i="15"/>
  <c r="M41" i="15"/>
  <c r="M40" i="15"/>
  <c r="J34" i="15"/>
  <c r="I34" i="15"/>
  <c r="J21" i="15"/>
  <c r="I21" i="15"/>
  <c r="H7" i="15"/>
  <c r="H6" i="15"/>
  <c r="E8" i="15"/>
  <c r="E7" i="15"/>
  <c r="E6" i="15"/>
  <c r="B7" i="15"/>
  <c r="H45" i="15"/>
  <c r="H46" i="15" s="1"/>
  <c r="J27" i="15"/>
  <c r="I24" i="15"/>
  <c r="I29" i="15" s="1"/>
  <c r="I30" i="15" s="1"/>
  <c r="I31" i="15" s="1"/>
  <c r="H33" i="15" s="1"/>
  <c r="O21" i="15"/>
  <c r="N21" i="15"/>
  <c r="N17" i="15"/>
  <c r="N18" i="15" s="1"/>
  <c r="M20" i="15" s="1"/>
  <c r="I17" i="15"/>
  <c r="I18" i="15" s="1"/>
  <c r="H20" i="15" s="1"/>
  <c r="N16" i="15"/>
  <c r="I16" i="15"/>
  <c r="O14" i="15"/>
  <c r="J14" i="15"/>
  <c r="O11" i="15"/>
  <c r="J11" i="15"/>
  <c r="P8" i="15"/>
  <c r="P7" i="15"/>
  <c r="P6" i="15"/>
  <c r="P4" i="15"/>
  <c r="E4" i="15"/>
  <c r="O21" i="14"/>
  <c r="N21" i="14"/>
  <c r="J26" i="17" l="1"/>
  <c r="S21" i="17"/>
  <c r="M22" i="17"/>
  <c r="M23" i="17" s="1"/>
  <c r="F24" i="17" s="1"/>
  <c r="H24" i="17" s="1"/>
  <c r="F7" i="17"/>
  <c r="F6" i="17"/>
  <c r="F16" i="17"/>
  <c r="H16" i="17" s="1"/>
  <c r="F5" i="17"/>
  <c r="H5" i="17" s="1"/>
  <c r="M11" i="17"/>
  <c r="M12" i="17" s="1"/>
  <c r="E16" i="17" s="1"/>
  <c r="F13" i="17"/>
  <c r="H13" i="17" s="1"/>
  <c r="F4" i="17"/>
  <c r="F20" i="17"/>
  <c r="H20" i="17" s="1"/>
  <c r="F21" i="17"/>
  <c r="H21" i="17" s="1"/>
  <c r="F22" i="17"/>
  <c r="H22" i="17" s="1"/>
  <c r="E30" i="17"/>
  <c r="F25" i="17"/>
  <c r="H25" i="17" s="1"/>
  <c r="F15" i="17"/>
  <c r="H15" i="17" s="1"/>
  <c r="F14" i="17"/>
  <c r="H14" i="17" s="1"/>
  <c r="M29" i="17"/>
  <c r="M30" i="17" s="1"/>
  <c r="E29" i="17" s="1"/>
  <c r="M31" i="17"/>
  <c r="E3" i="17"/>
  <c r="G3" i="17" s="1"/>
  <c r="M32" i="17"/>
  <c r="F29" i="17" s="1"/>
  <c r="H29" i="17" s="1"/>
  <c r="M21" i="17"/>
  <c r="H4" i="17"/>
  <c r="H6" i="17"/>
  <c r="H3" i="17"/>
  <c r="H7" i="17"/>
  <c r="I4" i="17"/>
  <c r="G4" i="17"/>
  <c r="E2" i="17"/>
  <c r="E7" i="17"/>
  <c r="E6" i="17"/>
  <c r="E5" i="17"/>
  <c r="N16" i="14"/>
  <c r="N17" i="14" s="1"/>
  <c r="N18" i="14" s="1"/>
  <c r="M20" i="14" s="1"/>
  <c r="O14" i="14"/>
  <c r="O11" i="14"/>
  <c r="H46" i="14"/>
  <c r="H45" i="14"/>
  <c r="I42" i="14"/>
  <c r="G42" i="14"/>
  <c r="J27" i="14"/>
  <c r="J34" i="14" s="1"/>
  <c r="I24" i="14"/>
  <c r="I29" i="14" s="1"/>
  <c r="I30" i="14" s="1"/>
  <c r="I31" i="14" s="1"/>
  <c r="H33" i="14" s="1"/>
  <c r="J11" i="14"/>
  <c r="J21" i="14"/>
  <c r="I16" i="14"/>
  <c r="I17" i="14" s="1"/>
  <c r="I18" i="14" s="1"/>
  <c r="H20" i="14" s="1"/>
  <c r="J14" i="14"/>
  <c r="I21" i="14" s="1"/>
  <c r="P8" i="14"/>
  <c r="P6" i="14"/>
  <c r="P4" i="14"/>
  <c r="E4" i="14"/>
  <c r="N11" i="12"/>
  <c r="M6" i="12" s="1"/>
  <c r="M7" i="12" s="1"/>
  <c r="R7" i="12"/>
  <c r="N14" i="12" s="1"/>
  <c r="M8" i="12" s="1"/>
  <c r="P6" i="12"/>
  <c r="P4" i="12"/>
  <c r="I12" i="12"/>
  <c r="H8" i="12" s="1"/>
  <c r="I10" i="12"/>
  <c r="H5" i="12" s="1"/>
  <c r="E4" i="12"/>
  <c r="J37" i="12"/>
  <c r="J39" i="12" s="1"/>
  <c r="J29" i="12"/>
  <c r="I30" i="12" s="1"/>
  <c r="J30" i="12" s="1"/>
  <c r="J22" i="12"/>
  <c r="I23" i="12" s="1"/>
  <c r="J23" i="12" s="1"/>
  <c r="E4" i="13"/>
  <c r="P4" i="13"/>
  <c r="F32" i="17" l="1"/>
  <c r="H32" i="17" s="1"/>
  <c r="E15" i="17"/>
  <c r="E14" i="17"/>
  <c r="I14" i="17" s="1"/>
  <c r="E13" i="17"/>
  <c r="E11" i="17"/>
  <c r="E17" i="17" s="1"/>
  <c r="E12" i="17"/>
  <c r="G12" i="17" s="1"/>
  <c r="H17" i="17"/>
  <c r="F23" i="17"/>
  <c r="H23" i="17" s="1"/>
  <c r="H26" i="17" s="1"/>
  <c r="I29" i="17"/>
  <c r="G29" i="17"/>
  <c r="E20" i="17"/>
  <c r="E21" i="17"/>
  <c r="E22" i="17"/>
  <c r="E23" i="17"/>
  <c r="E25" i="17"/>
  <c r="E24" i="17"/>
  <c r="F34" i="17"/>
  <c r="H34" i="17" s="1"/>
  <c r="F30" i="17"/>
  <c r="H30" i="17" s="1"/>
  <c r="F17" i="17"/>
  <c r="E34" i="17"/>
  <c r="G11" i="17"/>
  <c r="G30" i="17"/>
  <c r="F31" i="17"/>
  <c r="H31" i="17" s="1"/>
  <c r="G15" i="17"/>
  <c r="I15" i="17"/>
  <c r="F26" i="17"/>
  <c r="E31" i="17"/>
  <c r="E32" i="17"/>
  <c r="E33" i="17"/>
  <c r="G14" i="17"/>
  <c r="F33" i="17"/>
  <c r="H33" i="17" s="1"/>
  <c r="I16" i="17"/>
  <c r="G16" i="17"/>
  <c r="G5" i="17"/>
  <c r="I5" i="17"/>
  <c r="I6" i="17"/>
  <c r="G6" i="17"/>
  <c r="F8" i="17"/>
  <c r="H2" i="17"/>
  <c r="H8" i="17" s="1"/>
  <c r="I7" i="17"/>
  <c r="G7" i="17"/>
  <c r="G2" i="17"/>
  <c r="E8" i="17"/>
  <c r="I2" i="17"/>
  <c r="I3" i="17"/>
  <c r="I34" i="14"/>
  <c r="P7" i="14"/>
  <c r="P7" i="12"/>
  <c r="P8" i="12"/>
  <c r="H21" i="12"/>
  <c r="M21" i="12"/>
  <c r="N36" i="12"/>
  <c r="M36" i="12"/>
  <c r="M37" i="12" s="1"/>
  <c r="I36" i="12"/>
  <c r="J41" i="12"/>
  <c r="H28" i="12"/>
  <c r="M28" i="12"/>
  <c r="H36" i="12"/>
  <c r="J18" i="13"/>
  <c r="I19" i="13" s="1"/>
  <c r="J19" i="13" s="1"/>
  <c r="N11" i="13"/>
  <c r="N10" i="13"/>
  <c r="M6" i="13" s="1"/>
  <c r="R7" i="13"/>
  <c r="J25" i="13"/>
  <c r="I26" i="13" s="1"/>
  <c r="J26" i="13" s="1"/>
  <c r="I13" i="17" l="1"/>
  <c r="G13" i="17"/>
  <c r="G17" i="17" s="1"/>
  <c r="H35" i="17"/>
  <c r="I12" i="17"/>
  <c r="I11" i="17"/>
  <c r="G24" i="17"/>
  <c r="I24" i="17"/>
  <c r="I25" i="17"/>
  <c r="G25" i="17"/>
  <c r="I34" i="17"/>
  <c r="G34" i="17"/>
  <c r="G21" i="17"/>
  <c r="I21" i="17"/>
  <c r="I22" i="17"/>
  <c r="G22" i="17"/>
  <c r="F35" i="17"/>
  <c r="I33" i="17"/>
  <c r="G33" i="17"/>
  <c r="I30" i="17"/>
  <c r="G20" i="17"/>
  <c r="E26" i="17"/>
  <c r="I20" i="17"/>
  <c r="G23" i="17"/>
  <c r="I23" i="17"/>
  <c r="G32" i="17"/>
  <c r="I32" i="17"/>
  <c r="E35" i="17"/>
  <c r="I17" i="17"/>
  <c r="G31" i="17"/>
  <c r="I31" i="17"/>
  <c r="I8" i="17"/>
  <c r="P2" i="17" s="1"/>
  <c r="S2" i="17" s="1"/>
  <c r="G8" i="17"/>
  <c r="R2" i="17" s="1"/>
  <c r="N37" i="12"/>
  <c r="O37" i="12" s="1"/>
  <c r="O39" i="12" s="1"/>
  <c r="L29" i="12"/>
  <c r="M29" i="12" s="1"/>
  <c r="L22" i="12"/>
  <c r="P6" i="13"/>
  <c r="J33" i="13"/>
  <c r="J35" i="13" s="1"/>
  <c r="J37" i="13" s="1"/>
  <c r="G26" i="17" l="1"/>
  <c r="I35" i="17"/>
  <c r="G35" i="17"/>
  <c r="I26" i="17"/>
  <c r="O29" i="12"/>
  <c r="N30" i="12" s="1"/>
  <c r="O30" i="12" s="1"/>
  <c r="M22" i="12"/>
  <c r="O22" i="12" s="1"/>
  <c r="N23" i="12" s="1"/>
  <c r="O23" i="12" s="1"/>
  <c r="I12" i="13"/>
  <c r="M8" i="13"/>
  <c r="I11" i="13"/>
  <c r="I10" i="13"/>
  <c r="H5" i="13" s="1"/>
  <c r="E5" i="13" s="1"/>
  <c r="M34" i="9"/>
  <c r="M33" i="9"/>
  <c r="L33" i="9"/>
  <c r="M32" i="9"/>
  <c r="L32" i="9"/>
  <c r="L31" i="9"/>
  <c r="M31" i="9"/>
  <c r="K31" i="9"/>
  <c r="J31" i="9"/>
  <c r="M29" i="9"/>
  <c r="M27" i="9"/>
  <c r="M28" i="9"/>
  <c r="M26" i="9"/>
  <c r="K28" i="9"/>
  <c r="K27" i="9"/>
  <c r="L28" i="9"/>
  <c r="L27" i="9"/>
  <c r="L26" i="9"/>
  <c r="K26" i="9"/>
  <c r="J27" i="9"/>
  <c r="J28" i="9"/>
  <c r="J26" i="9"/>
  <c r="I28" i="9"/>
  <c r="I27" i="9"/>
  <c r="I26" i="9"/>
  <c r="M23" i="9"/>
  <c r="L21" i="9"/>
  <c r="L20" i="9"/>
  <c r="K21" i="9"/>
  <c r="K20" i="9"/>
  <c r="I21" i="9"/>
  <c r="J21" i="9" s="1"/>
  <c r="M21" i="9" s="1"/>
  <c r="I20" i="9"/>
  <c r="J20" i="9"/>
  <c r="I17" i="9"/>
  <c r="J17" i="9" s="1"/>
  <c r="K17" i="9"/>
  <c r="K16" i="9"/>
  <c r="I16" i="9"/>
  <c r="J16" i="9"/>
  <c r="K15" i="9"/>
  <c r="K13" i="9"/>
  <c r="I15" i="9"/>
  <c r="J15" i="9" s="1"/>
  <c r="I13" i="9"/>
  <c r="H3" i="9"/>
  <c r="N7" i="9" s="1"/>
  <c r="C13" i="8"/>
  <c r="C14" i="8" s="1"/>
  <c r="P7" i="8"/>
  <c r="B6" i="8"/>
  <c r="B7" i="8" s="1"/>
  <c r="B8" i="8" s="1"/>
  <c r="A6" i="8"/>
  <c r="A7" i="8" s="1"/>
  <c r="A8" i="8" s="1"/>
  <c r="A9" i="8" s="1"/>
  <c r="A10" i="8" s="1"/>
  <c r="A11" i="8" s="1"/>
  <c r="A12" i="8" s="1"/>
  <c r="C1" i="8"/>
  <c r="D1" i="8" s="1"/>
  <c r="E1" i="8" s="1"/>
  <c r="F1" i="8" s="1"/>
  <c r="G1" i="8" s="1"/>
  <c r="B1" i="8"/>
  <c r="H4" i="7"/>
  <c r="R5" i="7" s="1"/>
  <c r="H3" i="7"/>
  <c r="R2" i="7" s="1"/>
  <c r="E8" i="7"/>
  <c r="E3" i="7"/>
  <c r="D4" i="7"/>
  <c r="E4" i="7" s="1"/>
  <c r="H5" i="7" s="1"/>
  <c r="D5" i="7"/>
  <c r="E5" i="7" s="1"/>
  <c r="H6" i="7" s="1"/>
  <c r="R4" i="7" s="1"/>
  <c r="D6" i="7"/>
  <c r="E6" i="7" s="1"/>
  <c r="H7" i="7" s="1"/>
  <c r="D7" i="7"/>
  <c r="E7" i="7" s="1"/>
  <c r="D8" i="7"/>
  <c r="D3" i="7"/>
  <c r="C9" i="7"/>
  <c r="L13" i="6"/>
  <c r="H15" i="6"/>
  <c r="I15" i="6"/>
  <c r="J15" i="6"/>
  <c r="K15" i="6"/>
  <c r="E14" i="6"/>
  <c r="E15" i="6" s="1"/>
  <c r="F14" i="6"/>
  <c r="F15" i="6" s="1"/>
  <c r="G14" i="6"/>
  <c r="G15" i="6" s="1"/>
  <c r="H14" i="6"/>
  <c r="I14" i="6"/>
  <c r="J14" i="6"/>
  <c r="K14" i="6"/>
  <c r="C5" i="6"/>
  <c r="D5" i="6"/>
  <c r="C4" i="6"/>
  <c r="D4" i="6"/>
  <c r="E4" i="6"/>
  <c r="E5" i="6" s="1"/>
  <c r="F4" i="6"/>
  <c r="F5" i="6" s="1"/>
  <c r="G4" i="6"/>
  <c r="G5" i="6" s="1"/>
  <c r="H4" i="6"/>
  <c r="H5" i="6" s="1"/>
  <c r="I4" i="6"/>
  <c r="I5" i="6" s="1"/>
  <c r="J4" i="6"/>
  <c r="J5" i="6" s="1"/>
  <c r="K4" i="6"/>
  <c r="K5" i="6" s="1"/>
  <c r="D14" i="6"/>
  <c r="D15" i="6" s="1"/>
  <c r="C14" i="6"/>
  <c r="C15" i="6" s="1"/>
  <c r="B14" i="6"/>
  <c r="B15" i="6" s="1"/>
  <c r="B4" i="6"/>
  <c r="B5" i="6" s="1"/>
  <c r="L6" i="5"/>
  <c r="M6" i="5"/>
  <c r="N6" i="5"/>
  <c r="O6" i="5"/>
  <c r="P6" i="5"/>
  <c r="K6" i="5"/>
  <c r="J14" i="5"/>
  <c r="J11" i="5"/>
  <c r="J24" i="5"/>
  <c r="J21" i="5"/>
  <c r="J25" i="5" s="1"/>
  <c r="J26" i="5" s="1"/>
  <c r="L26" i="5" s="1"/>
  <c r="D21" i="5"/>
  <c r="D11" i="5"/>
  <c r="D24" i="5"/>
  <c r="D14" i="5"/>
  <c r="D15" i="5" s="1"/>
  <c r="D16" i="5" s="1"/>
  <c r="F16" i="5" s="1"/>
  <c r="E49" i="4"/>
  <c r="G47" i="4"/>
  <c r="D49" i="4" s="1"/>
  <c r="G46" i="4"/>
  <c r="D43" i="4"/>
  <c r="E43" i="4"/>
  <c r="F43" i="4" s="1"/>
  <c r="G43" i="4" s="1"/>
  <c r="H43" i="4" s="1"/>
  <c r="I43" i="4" s="1"/>
  <c r="J43" i="4" s="1"/>
  <c r="K43" i="4" s="1"/>
  <c r="C43" i="4"/>
  <c r="E38" i="4"/>
  <c r="G36" i="4"/>
  <c r="G35" i="4"/>
  <c r="K18" i="4"/>
  <c r="E31" i="4"/>
  <c r="R24" i="4"/>
  <c r="G29" i="4"/>
  <c r="G28" i="4"/>
  <c r="T22" i="4"/>
  <c r="T21" i="4"/>
  <c r="T16" i="4"/>
  <c r="T15" i="4"/>
  <c r="I9" i="4"/>
  <c r="I8" i="4"/>
  <c r="I7" i="4"/>
  <c r="I6" i="4"/>
  <c r="E6" i="4"/>
  <c r="E7" i="4" s="1"/>
  <c r="E8" i="4" s="1"/>
  <c r="E9" i="4" s="1"/>
  <c r="I5" i="4"/>
  <c r="D5" i="4"/>
  <c r="D6" i="4" s="1"/>
  <c r="D7" i="4" s="1"/>
  <c r="D8" i="4" s="1"/>
  <c r="D9" i="4" s="1"/>
  <c r="P4" i="4"/>
  <c r="F5" i="4" s="1"/>
  <c r="G5" i="4" s="1"/>
  <c r="P4" i="1"/>
  <c r="P6" i="1" s="1"/>
  <c r="R24" i="1"/>
  <c r="T22" i="1"/>
  <c r="T21" i="1"/>
  <c r="T16" i="1"/>
  <c r="T15" i="1"/>
  <c r="I6" i="1"/>
  <c r="J6" i="1" s="1"/>
  <c r="I7" i="1"/>
  <c r="J7" i="1" s="1"/>
  <c r="I8" i="1"/>
  <c r="J8" i="1" s="1"/>
  <c r="I9" i="1"/>
  <c r="J9" i="1" s="1"/>
  <c r="I5" i="1"/>
  <c r="J5" i="1" s="1"/>
  <c r="D5" i="1"/>
  <c r="D6" i="1" s="1"/>
  <c r="D7" i="1" s="1"/>
  <c r="D8" i="1" s="1"/>
  <c r="D9" i="1" s="1"/>
  <c r="Q24" i="1" l="1"/>
  <c r="S24" i="1" s="1"/>
  <c r="F6" i="4"/>
  <c r="G6" i="4" s="1"/>
  <c r="P6" i="4"/>
  <c r="R18" i="4" s="1"/>
  <c r="F7" i="4"/>
  <c r="F9" i="4"/>
  <c r="P8" i="4"/>
  <c r="S28" i="4" s="1"/>
  <c r="K7" i="4" s="1"/>
  <c r="L7" i="4" s="1"/>
  <c r="M7" i="4" s="1"/>
  <c r="P8" i="1"/>
  <c r="S28" i="1" s="1"/>
  <c r="O41" i="12"/>
  <c r="M24" i="13"/>
  <c r="M32" i="13"/>
  <c r="M33" i="13" s="1"/>
  <c r="N32" i="13"/>
  <c r="M17" i="13"/>
  <c r="J11" i="13"/>
  <c r="H8" i="13" s="1"/>
  <c r="I32" i="13" s="1"/>
  <c r="M7" i="13"/>
  <c r="M20" i="9"/>
  <c r="H4" i="9"/>
  <c r="J13" i="9"/>
  <c r="E12" i="8"/>
  <c r="E11" i="8"/>
  <c r="B9" i="8"/>
  <c r="E10" i="8"/>
  <c r="E7" i="8"/>
  <c r="E9" i="8"/>
  <c r="E6" i="8"/>
  <c r="E8" i="8"/>
  <c r="E5" i="8"/>
  <c r="L12" i="7"/>
  <c r="R3" i="7"/>
  <c r="B16" i="6"/>
  <c r="B6" i="6"/>
  <c r="B7" i="6" s="1"/>
  <c r="B8" i="6" s="1"/>
  <c r="B22" i="6" s="1"/>
  <c r="F22" i="6" s="1"/>
  <c r="B17" i="6"/>
  <c r="B18" i="6" s="1"/>
  <c r="B19" i="6" s="1"/>
  <c r="D22" i="6" s="1"/>
  <c r="J15" i="5"/>
  <c r="J16" i="5" s="1"/>
  <c r="L16" i="5" s="1"/>
  <c r="D25" i="5"/>
  <c r="D26" i="5" s="1"/>
  <c r="F26" i="5" s="1"/>
  <c r="Q18" i="4"/>
  <c r="F49" i="4"/>
  <c r="D38" i="4"/>
  <c r="F38" i="4" s="1"/>
  <c r="D31" i="4"/>
  <c r="F31" i="4" s="1"/>
  <c r="Q24" i="4"/>
  <c r="S24" i="4" s="1"/>
  <c r="J7" i="4"/>
  <c r="J8" i="4"/>
  <c r="J5" i="4"/>
  <c r="J6" i="4"/>
  <c r="J9" i="4"/>
  <c r="F8" i="4"/>
  <c r="E6" i="1"/>
  <c r="E7" i="1" s="1"/>
  <c r="E8" i="1" s="1"/>
  <c r="E9" i="1" s="1"/>
  <c r="R18" i="1"/>
  <c r="S18" i="1" s="1"/>
  <c r="F9" i="1"/>
  <c r="F6" i="1"/>
  <c r="F5" i="1"/>
  <c r="G5" i="1" s="1"/>
  <c r="F8" i="1"/>
  <c r="F7" i="1"/>
  <c r="Q18" i="1"/>
  <c r="G7" i="4" l="1"/>
  <c r="G8" i="4" s="1"/>
  <c r="G9" i="4" s="1"/>
  <c r="H5" i="4" s="1"/>
  <c r="H6" i="4" s="1"/>
  <c r="H7" i="4" s="1"/>
  <c r="H8" i="4" s="1"/>
  <c r="H9" i="4" s="1"/>
  <c r="S18" i="4"/>
  <c r="G6" i="1"/>
  <c r="G7" i="1" s="1"/>
  <c r="G8" i="1" s="1"/>
  <c r="G9" i="1" s="1"/>
  <c r="H5" i="1" s="1"/>
  <c r="H6" i="1" s="1"/>
  <c r="H7" i="1" s="1"/>
  <c r="H8" i="1" s="1"/>
  <c r="H9" i="1" s="1"/>
  <c r="K6" i="4"/>
  <c r="L6" i="4" s="1"/>
  <c r="M6" i="4" s="1"/>
  <c r="K9" i="4"/>
  <c r="L9" i="4" s="1"/>
  <c r="M9" i="4" s="1"/>
  <c r="K5" i="4"/>
  <c r="L5" i="4" s="1"/>
  <c r="M5" i="4" s="1"/>
  <c r="K8" i="4"/>
  <c r="L8" i="4" s="1"/>
  <c r="M8" i="4" s="1"/>
  <c r="N33" i="13"/>
  <c r="P7" i="13"/>
  <c r="P8" i="13"/>
  <c r="L18" i="13"/>
  <c r="M18" i="13" s="1"/>
  <c r="O18" i="13" s="1"/>
  <c r="N19" i="13" s="1"/>
  <c r="O19" i="13" s="1"/>
  <c r="O33" i="13"/>
  <c r="O35" i="13" s="1"/>
  <c r="L25" i="13"/>
  <c r="M25" i="13" s="1"/>
  <c r="H32" i="13"/>
  <c r="H17" i="13"/>
  <c r="H24" i="13"/>
  <c r="L17" i="9"/>
  <c r="M17" i="9" s="1"/>
  <c r="L13" i="9"/>
  <c r="L16" i="9"/>
  <c r="M16" i="9" s="1"/>
  <c r="L15" i="9"/>
  <c r="M15" i="9" s="1"/>
  <c r="M13" i="9"/>
  <c r="N9" i="9"/>
  <c r="N8" i="9"/>
  <c r="E13" i="8"/>
  <c r="B10" i="8"/>
  <c r="K6" i="1"/>
  <c r="L6" i="1" s="1"/>
  <c r="M6" i="1" s="1"/>
  <c r="K7" i="1"/>
  <c r="L7" i="1" s="1"/>
  <c r="M7" i="1" s="1"/>
  <c r="K9" i="1"/>
  <c r="L9" i="1" s="1"/>
  <c r="M9" i="1" s="1"/>
  <c r="K5" i="1"/>
  <c r="L5" i="1" s="1"/>
  <c r="M5" i="1" s="1"/>
  <c r="K8" i="1"/>
  <c r="L8" i="1" s="1"/>
  <c r="M8" i="1" s="1"/>
  <c r="Q12" i="4" l="1"/>
  <c r="S32" i="4" s="1"/>
  <c r="S36" i="4" s="1"/>
  <c r="Q36" i="4" s="1"/>
  <c r="O25" i="13"/>
  <c r="N26" i="13" s="1"/>
  <c r="O26" i="13" s="1"/>
  <c r="O37" i="13" s="1"/>
  <c r="M18" i="9"/>
  <c r="B11" i="8"/>
  <c r="Q12" i="1"/>
  <c r="S32" i="1" s="1"/>
  <c r="S36" i="1" s="1"/>
  <c r="Q36" i="1" s="1"/>
  <c r="B12" i="8" l="1"/>
  <c r="B13" i="8" l="1"/>
  <c r="B14" i="8" s="1"/>
  <c r="D5" i="8" l="1"/>
  <c r="D6" i="8"/>
  <c r="D8" i="8"/>
  <c r="D7" i="8"/>
  <c r="D9" i="8"/>
  <c r="D10" i="8"/>
  <c r="D11" i="8"/>
  <c r="D12" i="8"/>
  <c r="F5" i="8" l="1"/>
  <c r="D13" i="8"/>
  <c r="G5" i="8"/>
  <c r="F12" i="8"/>
  <c r="G12" i="8"/>
  <c r="G11" i="8"/>
  <c r="F11" i="8"/>
  <c r="G10" i="8"/>
  <c r="F10" i="8"/>
  <c r="G9" i="8"/>
  <c r="F9" i="8"/>
  <c r="G7" i="8"/>
  <c r="F7" i="8"/>
  <c r="G8" i="8"/>
  <c r="F8" i="8"/>
  <c r="G6" i="8"/>
  <c r="F6" i="8"/>
  <c r="G13" i="8" l="1"/>
  <c r="F13" i="8"/>
  <c r="M7" i="8" s="1"/>
  <c r="O7" i="8" l="1"/>
  <c r="M10" i="8"/>
  <c r="Q7" i="8" s="1"/>
  <c r="R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LAMBERT</author>
  </authors>
  <commentList>
    <comment ref="O3" authorId="0" shapeId="0" xr:uid="{E4415568-D462-42DE-BD30-1D01B156DFDD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69426501-7AC1-455B-BA23-01DB955CF739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0" shapeId="0" xr:uid="{97351B25-C785-4167-AC65-E5412F1F4218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 xr:uid="{AE6CA808-EB64-4A9D-8685-8A0E4C96B0C9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<sst xmlns="http://schemas.openxmlformats.org/spreadsheetml/2006/main" count="708" uniqueCount="254">
  <si>
    <t>Copies/Intervalles</t>
  </si>
  <si>
    <t>[ Intervalles [</t>
  </si>
  <si>
    <t>Effectif cumulé croissant</t>
  </si>
  <si>
    <t>Effectit cumulé décroissant</t>
  </si>
  <si>
    <t>Calcul de la médiane par les effectifs</t>
  </si>
  <si>
    <t>Soit</t>
  </si>
  <si>
    <t>Calcul de la médiane par les fréquences</t>
  </si>
  <si>
    <t>Calcul de la moyenne</t>
  </si>
  <si>
    <t>Calcul de la variance</t>
  </si>
  <si>
    <t>Calcul de l'écart type</t>
  </si>
  <si>
    <t>Classe par anciéneté</t>
  </si>
  <si>
    <t>N</t>
  </si>
  <si>
    <t>La médianne 50% des salariés ont moinse et 50% ont plus</t>
  </si>
  <si>
    <t>Fréquence</t>
  </si>
  <si>
    <t>La médiane = 50%</t>
  </si>
  <si>
    <t>Postulat</t>
  </si>
  <si>
    <t>Seize ans et 50% d'une année donc 16 ans et 6 mois</t>
  </si>
  <si>
    <t>Q1</t>
  </si>
  <si>
    <t>Q2</t>
  </si>
  <si>
    <t>Q3</t>
  </si>
  <si>
    <t>Q4</t>
  </si>
  <si>
    <t>=medianne</t>
  </si>
  <si>
    <t>ras</t>
  </si>
  <si>
    <t>Quatilles Q1=25%</t>
  </si>
  <si>
    <t xml:space="preserve">25% des salariés ont une anciénete  &lt; à 9ans et 65% d'une année donc 9 ans et 8 mois </t>
  </si>
  <si>
    <t>75% des salariés ont une anciénete &gt; 9 ans et 8 mois</t>
  </si>
  <si>
    <t>Déciles</t>
  </si>
  <si>
    <t>Les quartilles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</si>
  <si>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</si>
  <si>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</si>
  <si>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</si>
  <si>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</si>
  <si>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</si>
  <si>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</si>
  <si>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</si>
  <si>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</si>
  <si>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</si>
  <si>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</si>
  <si>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30% des salariés ont une anciénete  &lt; à 11 ans </t>
  </si>
  <si>
    <t>Données</t>
  </si>
  <si>
    <t>Pantalons</t>
  </si>
  <si>
    <t>Chemises</t>
  </si>
  <si>
    <t>Jupes</t>
  </si>
  <si>
    <t>Q</t>
  </si>
  <si>
    <t>P</t>
  </si>
  <si>
    <t>LAPEYRES</t>
  </si>
  <si>
    <t>PÄASCHE</t>
  </si>
  <si>
    <t>FICHER</t>
  </si>
  <si>
    <t>2015/2010</t>
  </si>
  <si>
    <t>2020/2015</t>
  </si>
  <si>
    <t>2020/2010</t>
  </si>
  <si>
    <t>Prix</t>
  </si>
  <si>
    <t>Prix 1</t>
  </si>
  <si>
    <t>Quantité 0</t>
  </si>
  <si>
    <t>Prix 0</t>
  </si>
  <si>
    <t>Prix  0</t>
  </si>
  <si>
    <t>S1 =Somme (P1*Q0)</t>
  </si>
  <si>
    <t>S2 = Somme (P0*Q0)</t>
  </si>
  <si>
    <t>Prix = S1 / S2</t>
  </si>
  <si>
    <t>Prix = Prix *100</t>
  </si>
  <si>
    <t>Quantité</t>
  </si>
  <si>
    <t>Quantité 1</t>
  </si>
  <si>
    <t>Quantité  0</t>
  </si>
  <si>
    <t>%</t>
  </si>
  <si>
    <t>PAASCHE</t>
  </si>
  <si>
    <t>Quantite</t>
  </si>
  <si>
    <t>S1 =Somme (P1*Q1)</t>
  </si>
  <si>
    <t>Prix  1</t>
  </si>
  <si>
    <t>On multiplie les coédiscients</t>
  </si>
  <si>
    <t>Au format %</t>
  </si>
  <si>
    <r>
      <rPr>
        <b/>
        <sz val="10"/>
        <color rgb="FFFF0000"/>
        <rFont val="Times New Roman"/>
        <family val="1"/>
      </rPr>
      <t>+1</t>
    </r>
    <r>
      <rPr>
        <sz val="10"/>
        <color theme="1"/>
        <rFont val="Times New Roman"/>
        <family val="1"/>
      </rPr>
      <t xml:space="preserve"> pour passer au coéfiscient multiplicateur,</t>
    </r>
  </si>
  <si>
    <r>
      <rPr>
        <b/>
        <sz val="10"/>
        <color rgb="FFFF0000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pour revenir aux taux d'évolution</t>
    </r>
  </si>
  <si>
    <r>
      <rPr>
        <b/>
        <sz val="10"/>
        <color rgb="FFFF0000"/>
        <rFont val="Times New Roman"/>
        <family val="1"/>
      </rPr>
      <t xml:space="preserve">-1 </t>
    </r>
    <r>
      <rPr>
        <sz val="10"/>
        <color theme="1"/>
        <rFont val="Times New Roman"/>
        <family val="1"/>
      </rPr>
      <t>pour revenir aux taux d'évolution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</si>
  <si>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global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</si>
  <si>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moyen</t>
    </r>
  </si>
  <si>
    <t>NB VAL</t>
  </si>
  <si>
    <r>
      <t>Moyenne géométrique (</t>
    </r>
    <r>
      <rPr>
        <b/>
        <sz val="10"/>
        <color rgb="FFFF0000"/>
        <rFont val="Times New Roman"/>
        <family val="1"/>
      </rPr>
      <t>puissance 1/nbval</t>
    </r>
    <r>
      <rPr>
        <sz val="10"/>
        <color theme="1"/>
        <rFont val="Times New Roman"/>
        <family val="1"/>
      </rPr>
      <t>)</t>
    </r>
  </si>
  <si>
    <t>Ecart</t>
  </si>
  <si>
    <t>Global</t>
  </si>
  <si>
    <t>Moyen</t>
  </si>
  <si>
    <t>[</t>
  </si>
  <si>
    <t>]</t>
  </si>
  <si>
    <t>Classe des montants annuels des loyers en millier €</t>
  </si>
  <si>
    <t>Effectifs = nombre d'appartments correspondant à la classe</t>
  </si>
  <si>
    <t>Nombre d'effectifs</t>
  </si>
  <si>
    <t>Avant</t>
  </si>
  <si>
    <t>Apres</t>
  </si>
  <si>
    <t>Densite</t>
  </si>
  <si>
    <t>Entre bornes supériere et infériere de la classe</t>
  </si>
  <si>
    <t>Formune de l'interpolation linéaire</t>
  </si>
  <si>
    <t>x1</t>
  </si>
  <si>
    <t>x2</t>
  </si>
  <si>
    <t>ai</t>
  </si>
  <si>
    <t>a(i-1)</t>
  </si>
  <si>
    <t>a(i+1)</t>
  </si>
  <si>
    <t>Paramétres</t>
  </si>
  <si>
    <t xml:space="preserve"> </t>
  </si>
  <si>
    <t>Node</t>
  </si>
  <si>
    <t>Légende</t>
  </si>
  <si>
    <t>En appliquant la formule de l'interpolation linéaire</t>
  </si>
  <si>
    <t>Le node correspond à l'effectif le plus élevé, c’est-à-dire au plus représentatif. Acondition que l'étendue des classe soit identique,</t>
  </si>
  <si>
    <t>ai-ai-1</t>
  </si>
  <si>
    <t>ai-ai+1</t>
  </si>
  <si>
    <t>x2-x1</t>
  </si>
  <si>
    <t>Années</t>
  </si>
  <si>
    <t>CA 
milliers €</t>
  </si>
  <si>
    <t>X</t>
  </si>
  <si>
    <t>Y</t>
  </si>
  <si>
    <t>Années
en chiffre</t>
  </si>
  <si>
    <t>Total</t>
  </si>
  <si>
    <t>Moyenne</t>
  </si>
  <si>
    <t>Calculer A</t>
  </si>
  <si>
    <t>A =</t>
  </si>
  <si>
    <t>Calculer B</t>
  </si>
  <si>
    <t>B=</t>
  </si>
  <si>
    <t>ème année</t>
  </si>
  <si>
    <t>A</t>
  </si>
  <si>
    <t>* x</t>
  </si>
  <si>
    <t>+ B</t>
  </si>
  <si>
    <t xml:space="preserve"> = CA</t>
  </si>
  <si>
    <t>Equation</t>
  </si>
  <si>
    <t>Simulation  pour</t>
  </si>
  <si>
    <t>Année</t>
  </si>
  <si>
    <t>soit</t>
  </si>
  <si>
    <t>Echantillon de fromages</t>
  </si>
  <si>
    <t>L'usage de la Loi binomiale est justifier</t>
  </si>
  <si>
    <t>n</t>
  </si>
  <si>
    <t>p</t>
  </si>
  <si>
    <t>q</t>
  </si>
  <si>
    <t>Espérance</t>
  </si>
  <si>
    <t>E(X)</t>
  </si>
  <si>
    <t>Variance</t>
  </si>
  <si>
    <t>V</t>
  </si>
  <si>
    <t>Ecart type</t>
  </si>
  <si>
    <t>k</t>
  </si>
  <si>
    <r>
      <t>1 - Probabilité de tomber</t>
    </r>
    <r>
      <rPr>
        <sz val="11"/>
        <color rgb="FFFF0000"/>
        <rFont val="Aptos Narrow"/>
        <family val="2"/>
        <scheme val="minor"/>
      </rPr>
      <t xml:space="preserve"> exactement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</si>
  <si>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r>
      <t xml:space="preserve">2 - Probabilité de tomber </t>
    </r>
    <r>
      <rPr>
        <sz val="11"/>
        <color rgb="FFFF0000"/>
        <rFont val="Aptos Narrow"/>
        <family val="2"/>
        <scheme val="minor"/>
      </rPr>
      <t>au maximum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</si>
  <si>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P(X=0)</t>
  </si>
  <si>
    <r>
      <t>P(X</t>
    </r>
    <r>
      <rPr>
        <sz val="11"/>
        <color rgb="FFFF0000"/>
        <rFont val="Aptos Narrow"/>
        <family val="2"/>
        <scheme val="minor"/>
      </rPr>
      <t>&lt;</t>
    </r>
    <r>
      <rPr>
        <sz val="11"/>
        <color theme="1"/>
        <rFont val="Aptos Narrow"/>
        <family val="2"/>
        <scheme val="minor"/>
      </rPr>
      <t>2)=P(X=0)+P(X=1)+P(X=2)</t>
    </r>
  </si>
  <si>
    <r>
      <t>P(X)</t>
    </r>
    <r>
      <rPr>
        <sz val="11"/>
        <color rgb="FFFF0000"/>
        <rFont val="Aptos Narrow"/>
        <family val="2"/>
        <scheme val="minor"/>
      </rPr>
      <t>&gt;=</t>
    </r>
    <r>
      <rPr>
        <sz val="11"/>
        <color theme="1"/>
        <rFont val="Aptos Narrow"/>
        <family val="2"/>
        <scheme val="minor"/>
      </rPr>
      <t xml:space="preserve"> K = 1-P(X&lt;2) = 1-(P(X=0)+P(X=1))</t>
    </r>
  </si>
  <si>
    <t>1-(+M20+M21+M22) =</t>
  </si>
  <si>
    <r>
      <t xml:space="preserve">3 - Probabilité de tomber </t>
    </r>
    <r>
      <rPr>
        <sz val="11"/>
        <color rgb="FFFF0000"/>
        <rFont val="Aptos Narrow"/>
        <family val="2"/>
        <scheme val="minor"/>
      </rPr>
      <t>aumoins</t>
    </r>
    <r>
      <rPr>
        <sz val="11"/>
        <color theme="1"/>
        <rFont val="Aptos Narrow"/>
        <family val="2"/>
        <scheme val="minor"/>
      </rPr>
      <t xml:space="preserve">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</si>
  <si>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Dans une fromagerie, le responsable qualité veut calculer semon certain critères, les probabilités de tomber sur des fromages non conforme.</t>
  </si>
  <si>
    <t>Probabilité de tomber sur un formage non conforme (succès)</t>
  </si>
  <si>
    <t>Probabilité de ne pas  tomber sur un formage non conforme (échec)</t>
  </si>
  <si>
    <t>- Evénements indépendant</t>
  </si>
  <si>
    <t>- 2 issues possible no-conforme ou conforme</t>
  </si>
  <si>
    <t>- On dispose des paramètres n,p,q</t>
  </si>
  <si>
    <r>
      <t xml:space="preserve">4 - Probabilité de tomber des fromages non-conforme dans un  </t>
    </r>
    <r>
      <rPr>
        <sz val="11"/>
        <color rgb="FFFF0000"/>
        <rFont val="Aptos Narrow"/>
        <family val="2"/>
        <scheme val="minor"/>
      </rPr>
      <t>intervalle</t>
    </r>
  </si>
  <si>
    <t>P(kn-1 &lt; x &lt;kn+2) = P(X=kn-1) + P(X=kn) + P(X=k-n+1)</t>
  </si>
  <si>
    <t>kn-1</t>
  </si>
  <si>
    <t>kn</t>
  </si>
  <si>
    <t>kn+2</t>
  </si>
  <si>
    <r>
      <t xml:space="preserve">5 - Probabilité de tomber sur </t>
    </r>
    <r>
      <rPr>
        <sz val="11"/>
        <color rgb="FFFF0000"/>
        <rFont val="Aptos Narrow"/>
        <family val="2"/>
        <scheme val="minor"/>
      </rPr>
      <t>aucun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</si>
  <si>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P(X=k)=</t>
  </si>
  <si>
    <t>k (aucun)</t>
  </si>
  <si>
    <r>
      <t xml:space="preserve">Rechercher l'échantillon </t>
    </r>
    <r>
      <rPr>
        <b/>
        <sz val="11"/>
        <color rgb="FFFF0000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pour </t>
    </r>
  </si>
  <si>
    <t>^n</t>
  </si>
  <si>
    <t>ln</t>
  </si>
  <si>
    <t>Population</t>
  </si>
  <si>
    <t>Echantillon</t>
  </si>
  <si>
    <t>m</t>
  </si>
  <si>
    <t>m'</t>
  </si>
  <si>
    <t>Effectif de la population</t>
  </si>
  <si>
    <t>Paramètres</t>
  </si>
  <si>
    <t>Pourcentage du succès</t>
  </si>
  <si>
    <t>p'</t>
  </si>
  <si>
    <t xml:space="preserve">m' = </t>
  </si>
  <si>
    <t>P' =</t>
  </si>
  <si>
    <t>q'</t>
  </si>
  <si>
    <t>Les paramétre sont connues</t>
  </si>
  <si>
    <t>Les variables statistiques</t>
  </si>
  <si>
    <t>Variables</t>
  </si>
  <si>
    <t>Loi centrée réduite</t>
  </si>
  <si>
    <t>Proportion (%)</t>
  </si>
  <si>
    <t>a</t>
  </si>
  <si>
    <t>b</t>
  </si>
  <si>
    <t>P(X &gt;+a) = 1-PI(A)</t>
  </si>
  <si>
    <t>P(X &gt;-a) = PI(A)</t>
  </si>
  <si>
    <t>P(X &lt;-a) = 1-PI(A)</t>
  </si>
  <si>
    <t>P(X &lt;+a)  = PI(A)</t>
  </si>
  <si>
    <t>P(a &lt; X &lt; b) = PI(b) - PI(a)</t>
  </si>
  <si>
    <t>P(-a &lt; X &lt;+a) = 2PI(a)-1</t>
  </si>
  <si>
    <t xml:space="preserve">Theoreme </t>
  </si>
  <si>
    <t>Vérification</t>
  </si>
  <si>
    <t>contrôle n&gt;30 np &gt;5 nq &gt;5 npq &gt;5</t>
  </si>
  <si>
    <t>q=1-p</t>
  </si>
  <si>
    <t>q'=1-p'</t>
  </si>
  <si>
    <t xml:space="preserve">m= </t>
  </si>
  <si>
    <t>p=</t>
  </si>
  <si>
    <r>
      <rPr>
        <b/>
        <sz val="11"/>
        <color theme="1"/>
        <rFont val="Aptos Narrow"/>
        <family val="2"/>
        <scheme val="minor"/>
      </rPr>
      <t>S</t>
    </r>
    <r>
      <rPr>
        <sz val="11"/>
        <color theme="1"/>
        <rFont val="Aptos Narrow"/>
        <family val="2"/>
        <scheme val="minor"/>
      </rPr>
      <t xml:space="preserve"> ou Ecart type estimé</t>
    </r>
  </si>
  <si>
    <t>45  personnes prêtent a voter pour lui p'=45/150</t>
  </si>
  <si>
    <t>Estimation Ponctuelle par la moyenne</t>
  </si>
  <si>
    <t>Estimation Ponctuelle par la proportion</t>
  </si>
  <si>
    <t>Notes d'exercice</t>
  </si>
  <si>
    <t>Seuil de confiance</t>
  </si>
  <si>
    <t>Ecart type de l'échantillon</t>
  </si>
  <si>
    <t>t</t>
  </si>
  <si>
    <t>Intervalle de confiance</t>
  </si>
  <si>
    <t>Seuil de risque</t>
  </si>
  <si>
    <t>Sc</t>
  </si>
  <si>
    <t>Sr</t>
  </si>
  <si>
    <t>Intervalle de confiance Ecart type connu avec Sr</t>
  </si>
  <si>
    <t>-a</t>
  </si>
  <si>
    <t>+a</t>
  </si>
  <si>
    <t>P(-a &lt; X &lt;+a) = 2PI(a)-1 =</t>
  </si>
  <si>
    <t>PI(a)</t>
  </si>
  <si>
    <t>Lecture table</t>
  </si>
  <si>
    <t>Recherche d'échantillon</t>
  </si>
  <si>
    <r>
      <t xml:space="preserve">Intervalle de confiance Ecart type </t>
    </r>
    <r>
      <rPr>
        <b/>
        <sz val="11"/>
        <color rgb="FFFF0000"/>
        <rFont val="Aptos Narrow"/>
        <family val="2"/>
        <scheme val="minor"/>
      </rPr>
      <t>connu</t>
    </r>
    <r>
      <rPr>
        <b/>
        <sz val="11"/>
        <color theme="1"/>
        <rFont val="Aptos Narrow"/>
        <family val="2"/>
        <scheme val="minor"/>
      </rPr>
      <t xml:space="preserve"> avec Sc</t>
    </r>
  </si>
  <si>
    <r>
      <t xml:space="preserve">Intervalle de confiance Ecart type </t>
    </r>
    <r>
      <rPr>
        <b/>
        <sz val="11"/>
        <color rgb="FFFF0000"/>
        <rFont val="Aptos Narrow"/>
        <family val="2"/>
        <scheme val="minor"/>
      </rPr>
      <t>inconnu</t>
    </r>
    <r>
      <rPr>
        <b/>
        <sz val="11"/>
        <color theme="1"/>
        <rFont val="Aptos Narrow"/>
        <family val="2"/>
        <scheme val="minor"/>
      </rPr>
      <t xml:space="preserve"> avec Sc</t>
    </r>
  </si>
  <si>
    <t>Ecart type de la population</t>
  </si>
  <si>
    <r>
      <t>S</t>
    </r>
    <r>
      <rPr>
        <sz val="9"/>
        <color theme="1"/>
        <rFont val="Aptos Narrow"/>
        <family val="2"/>
        <scheme val="minor"/>
      </rPr>
      <t>confiance</t>
    </r>
  </si>
  <si>
    <t>Dans notre cas le fabriquant fait une publicité mensongére</t>
  </si>
  <si>
    <t>la loi est normale donc p=p'</t>
  </si>
  <si>
    <t>Intervalle de confiance  par la proportion au Sc</t>
  </si>
  <si>
    <t>M</t>
  </si>
  <si>
    <t>Xi</t>
  </si>
  <si>
    <t>Yi</t>
  </si>
  <si>
    <t>X-X*</t>
  </si>
  <si>
    <t>Y-Y*</t>
  </si>
  <si>
    <t>(X-X*)²</t>
  </si>
  <si>
    <t>(Y-Y*)²</t>
  </si>
  <si>
    <t>(X-X*)(Y-Y*)</t>
  </si>
  <si>
    <t>y=ax+b</t>
  </si>
  <si>
    <t>Somme Xi</t>
  </si>
  <si>
    <t>Somme Yi</t>
  </si>
  <si>
    <t>X* moyenne</t>
  </si>
  <si>
    <t>Y* moyenne</t>
  </si>
  <si>
    <t>Nombre effectif</t>
  </si>
  <si>
    <t>ln(xi)</t>
  </si>
  <si>
    <t>Somme ln(Xi)</t>
  </si>
  <si>
    <t>ln(yi)</t>
  </si>
  <si>
    <t>Somme ln(Yi)</t>
  </si>
  <si>
    <t>Somme ln(xi)</t>
  </si>
  <si>
    <t>y=a lnx + b</t>
  </si>
  <si>
    <t>Calcul de a</t>
  </si>
  <si>
    <t>/</t>
  </si>
  <si>
    <t>Calcul de b</t>
  </si>
  <si>
    <t>-</t>
  </si>
  <si>
    <t>y=1,44x-0,04</t>
  </si>
  <si>
    <t>coefficient de corrélation</t>
  </si>
  <si>
    <t>r</t>
  </si>
  <si>
    <t>coefficient de détermination</t>
  </si>
  <si>
    <t>R²</t>
  </si>
  <si>
    <t>*</t>
  </si>
  <si>
    <t>Année 7</t>
  </si>
  <si>
    <t>y=3,58 ln(x)+1,07</t>
  </si>
  <si>
    <t>y=a ln(x)+b</t>
  </si>
  <si>
    <t>y=e^ax+b</t>
  </si>
  <si>
    <t>Calul de B</t>
  </si>
  <si>
    <t>evec B=e^b</t>
  </si>
  <si>
    <t xml:space="preserve">Y=Be^ax </t>
  </si>
  <si>
    <t>Calcul de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</si>
</sst>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"/>
    <numFmt numFmtId="165" formatCode="0.0000"/>
    <numFmt numFmtId="166" formatCode="0.000"/>
    <numFmt numFmtId="167" formatCode="0.00000"/>
  </numFmts>
  <fonts count="20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ck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00B050"/>
      </left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ck">
        <color rgb="FFFF0000"/>
      </left>
      <right style="thin">
        <color rgb="FF00B050"/>
      </right>
      <top/>
      <bottom style="thick">
        <color rgb="FFFF0000"/>
      </bottom>
      <diagonal/>
    </border>
    <border>
      <left style="thin">
        <color rgb="FF00B05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/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ck">
        <color rgb="FF00B050"/>
      </top>
      <bottom/>
      <diagonal/>
    </border>
    <border>
      <left style="thin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 style="thick">
        <color rgb="FF00B050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n">
        <color rgb="FF00B05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 style="thin">
        <color theme="7" tint="0.39994506668294322"/>
      </bottom>
      <diagonal/>
    </border>
    <border>
      <left/>
      <right style="thick">
        <color theme="7" tint="0.39994506668294322"/>
      </right>
      <top style="thick">
        <color theme="7" tint="0.39994506668294322"/>
      </top>
      <bottom style="thin">
        <color theme="7" tint="0.39994506668294322"/>
      </bottom>
      <diagonal/>
    </border>
    <border>
      <left style="thick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ck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ck">
        <color theme="7" tint="0.39994506668294322"/>
      </left>
      <right/>
      <top style="thin">
        <color theme="7" tint="0.39994506668294322"/>
      </top>
      <bottom style="thick">
        <color theme="7" tint="0.39994506668294322"/>
      </bottom>
      <diagonal/>
    </border>
    <border>
      <left/>
      <right style="thick">
        <color theme="7" tint="0.39994506668294322"/>
      </right>
      <top style="thin">
        <color theme="7" tint="0.39994506668294322"/>
      </top>
      <bottom style="thick">
        <color theme="7" tint="0.39994506668294322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164" fontId="0" fillId="8" borderId="0" xfId="0" applyNumberFormat="1" applyFill="1"/>
    <xf numFmtId="2" fontId="0" fillId="8" borderId="0" xfId="0" applyNumberFormat="1" applyFill="1"/>
    <xf numFmtId="2" fontId="0" fillId="8" borderId="0" xfId="0" applyNumberFormat="1" applyFill="1" applyAlignment="1">
      <alignment horizontal="right" indent="1"/>
    </xf>
    <xf numFmtId="2" fontId="0" fillId="4" borderId="0" xfId="0" applyNumberFormat="1" applyFill="1"/>
    <xf numFmtId="0" fontId="0" fillId="9" borderId="0" xfId="0" applyFill="1"/>
    <xf numFmtId="0" fontId="0" fillId="0" borderId="1" xfId="0" applyBorder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164" fontId="0" fillId="4" borderId="2" xfId="0" applyNumberFormat="1" applyFill="1" applyBorder="1"/>
    <xf numFmtId="164" fontId="0" fillId="4" borderId="3" xfId="0" applyNumberFormat="1" applyFill="1" applyBorder="1"/>
    <xf numFmtId="164" fontId="0" fillId="2" borderId="4" xfId="0" applyNumberFormat="1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9" fontId="0" fillId="0" borderId="0" xfId="0" applyNumberFormat="1"/>
    <xf numFmtId="9" fontId="0" fillId="6" borderId="0" xfId="0" applyNumberFormat="1" applyFill="1"/>
    <xf numFmtId="0" fontId="0" fillId="0" borderId="0" xfId="0" quotePrefix="1" applyAlignment="1">
      <alignment horizontal="center"/>
    </xf>
    <xf numFmtId="0" fontId="0" fillId="6" borderId="0" xfId="0" applyFill="1"/>
    <xf numFmtId="1" fontId="0" fillId="7" borderId="0" xfId="0" applyNumberFormat="1" applyFill="1" applyAlignment="1">
      <alignment horizontal="center"/>
    </xf>
    <xf numFmtId="44" fontId="0" fillId="0" borderId="0" xfId="1" applyFont="1"/>
    <xf numFmtId="0" fontId="0" fillId="0" borderId="35" xfId="0" applyBorder="1"/>
    <xf numFmtId="0" fontId="0" fillId="0" borderId="36" xfId="0" applyBorder="1"/>
    <xf numFmtId="0" fontId="0" fillId="0" borderId="34" xfId="0" applyBorder="1"/>
    <xf numFmtId="0" fontId="2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2" fontId="0" fillId="0" borderId="0" xfId="0" applyNumberFormat="1"/>
    <xf numFmtId="2" fontId="0" fillId="0" borderId="0" xfId="0" applyNumberFormat="1"/>
    <xf numFmtId="44" fontId="0" fillId="10" borderId="27" xfId="1" applyFont="1" applyFill="1" applyBorder="1"/>
    <xf numFmtId="44" fontId="0" fillId="10" borderId="22" xfId="1" applyFont="1" applyFill="1" applyBorder="1"/>
    <xf numFmtId="44" fontId="0" fillId="10" borderId="25" xfId="1" applyFont="1" applyFill="1" applyBorder="1"/>
    <xf numFmtId="44" fontId="0" fillId="10" borderId="28" xfId="1" applyFont="1" applyFill="1" applyBorder="1"/>
    <xf numFmtId="44" fontId="0" fillId="10" borderId="23" xfId="1" applyFont="1" applyFill="1" applyBorder="1"/>
    <xf numFmtId="44" fontId="0" fillId="10" borderId="26" xfId="1" applyFont="1" applyFill="1" applyBorder="1"/>
    <xf numFmtId="0" fontId="0" fillId="0" borderId="24" xfId="0" applyBorder="1"/>
    <xf numFmtId="2" fontId="0" fillId="0" borderId="22" xfId="0" applyNumberFormat="1" applyBorder="1"/>
    <xf numFmtId="2" fontId="0" fillId="0" borderId="25" xfId="0" applyNumberFormat="1" applyBorder="1"/>
    <xf numFmtId="2" fontId="0" fillId="8" borderId="22" xfId="0" applyNumberFormat="1" applyFill="1" applyBorder="1"/>
    <xf numFmtId="2" fontId="0" fillId="8" borderId="25" xfId="0" applyNumberFormat="1" applyFill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2" fontId="0" fillId="0" borderId="26" xfId="0" applyNumberFormat="1" applyBorder="1"/>
    <xf numFmtId="2" fontId="0" fillId="0" borderId="26" xfId="2" applyNumberFormat="1" applyFont="1" applyBorder="1"/>
    <xf numFmtId="2" fontId="0" fillId="10" borderId="19" xfId="1" applyNumberFormat="1" applyFont="1" applyFill="1" applyBorder="1"/>
    <xf numFmtId="2" fontId="0" fillId="10" borderId="20" xfId="1" applyNumberFormat="1" applyFont="1" applyFill="1" applyBorder="1"/>
    <xf numFmtId="2" fontId="0" fillId="0" borderId="23" xfId="0" applyNumberFormat="1" applyBorder="1"/>
    <xf numFmtId="2" fontId="0" fillId="10" borderId="22" xfId="0" applyNumberFormat="1" applyFill="1" applyBorder="1"/>
    <xf numFmtId="2" fontId="0" fillId="10" borderId="23" xfId="0" applyNumberFormat="1" applyFill="1" applyBorder="1"/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0" fillId="10" borderId="22" xfId="1" applyNumberFormat="1" applyFont="1" applyFill="1" applyBorder="1"/>
    <xf numFmtId="2" fontId="0" fillId="10" borderId="23" xfId="1" applyNumberFormat="1" applyFont="1" applyFill="1" applyBorder="1"/>
    <xf numFmtId="0" fontId="0" fillId="11" borderId="31" xfId="0" applyFill="1" applyBorder="1"/>
    <xf numFmtId="0" fontId="0" fillId="11" borderId="32" xfId="0" applyFill="1" applyBorder="1"/>
    <xf numFmtId="0" fontId="0" fillId="11" borderId="30" xfId="0" applyFill="1" applyBorder="1"/>
    <xf numFmtId="0" fontId="0" fillId="11" borderId="27" xfId="0" applyFill="1" applyBorder="1"/>
    <xf numFmtId="0" fontId="0" fillId="11" borderId="22" xfId="0" applyFill="1" applyBorder="1"/>
    <xf numFmtId="0" fontId="0" fillId="11" borderId="25" xfId="0" applyFill="1" applyBorder="1"/>
    <xf numFmtId="2" fontId="0" fillId="11" borderId="22" xfId="1" applyNumberFormat="1" applyFont="1" applyFill="1" applyBorder="1"/>
    <xf numFmtId="2" fontId="0" fillId="11" borderId="22" xfId="0" applyNumberFormat="1" applyFill="1" applyBorder="1"/>
    <xf numFmtId="2" fontId="0" fillId="11" borderId="23" xfId="1" applyNumberFormat="1" applyFont="1" applyFill="1" applyBorder="1"/>
    <xf numFmtId="2" fontId="0" fillId="11" borderId="23" xfId="0" applyNumberFormat="1" applyFill="1" applyBorder="1"/>
    <xf numFmtId="2" fontId="0" fillId="11" borderId="19" xfId="1" applyNumberFormat="1" applyFont="1" applyFill="1" applyBorder="1"/>
    <xf numFmtId="2" fontId="0" fillId="11" borderId="20" xfId="1" applyNumberFormat="1" applyFont="1" applyFill="1" applyBorder="1"/>
    <xf numFmtId="2" fontId="0" fillId="4" borderId="22" xfId="0" applyNumberFormat="1" applyFill="1" applyBorder="1"/>
    <xf numFmtId="2" fontId="0" fillId="4" borderId="23" xfId="0" applyNumberFormat="1" applyFill="1" applyBorder="1"/>
    <xf numFmtId="0" fontId="0" fillId="4" borderId="34" xfId="0" applyFill="1" applyBorder="1"/>
    <xf numFmtId="164" fontId="0" fillId="8" borderId="31" xfId="0" applyNumberFormat="1" applyFill="1" applyBorder="1"/>
    <xf numFmtId="164" fontId="0" fillId="8" borderId="27" xfId="1" applyNumberFormat="1" applyFont="1" applyFill="1" applyBorder="1"/>
    <xf numFmtId="164" fontId="0" fillId="8" borderId="27" xfId="0" applyNumberFormat="1" applyFill="1" applyBorder="1"/>
    <xf numFmtId="164" fontId="6" fillId="8" borderId="27" xfId="0" applyNumberFormat="1" applyFont="1" applyFill="1" applyBorder="1"/>
    <xf numFmtId="164" fontId="0" fillId="8" borderId="28" xfId="1" applyNumberFormat="1" applyFont="1" applyFill="1" applyBorder="1"/>
    <xf numFmtId="164" fontId="0" fillId="8" borderId="32" xfId="0" applyNumberFormat="1" applyFill="1" applyBorder="1"/>
    <xf numFmtId="164" fontId="0" fillId="8" borderId="22" xfId="1" applyNumberFormat="1" applyFont="1" applyFill="1" applyBorder="1"/>
    <xf numFmtId="164" fontId="0" fillId="8" borderId="22" xfId="0" applyNumberFormat="1" applyFill="1" applyBorder="1"/>
    <xf numFmtId="164" fontId="0" fillId="8" borderId="23" xfId="1" applyNumberFormat="1" applyFont="1" applyFill="1" applyBorder="1"/>
    <xf numFmtId="164" fontId="0" fillId="12" borderId="30" xfId="0" applyNumberFormat="1" applyFill="1" applyBorder="1"/>
    <xf numFmtId="164" fontId="0" fillId="12" borderId="26" xfId="0" applyNumberFormat="1" applyFill="1" applyBorder="1"/>
    <xf numFmtId="0" fontId="0" fillId="4" borderId="0" xfId="0" applyFill="1" applyAlignment="1">
      <alignment horizontal="center"/>
    </xf>
    <xf numFmtId="0" fontId="0" fillId="0" borderId="38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9" fontId="0" fillId="10" borderId="40" xfId="0" applyNumberFormat="1" applyFill="1" applyBorder="1" applyAlignment="1">
      <alignment horizontal="center"/>
    </xf>
    <xf numFmtId="9" fontId="0" fillId="10" borderId="41" xfId="0" applyNumberFormat="1" applyFill="1" applyBorder="1" applyAlignment="1">
      <alignment horizontal="center"/>
    </xf>
    <xf numFmtId="9" fontId="0" fillId="10" borderId="42" xfId="0" applyNumberFormat="1" applyFill="1" applyBorder="1" applyAlignment="1">
      <alignment horizontal="center"/>
    </xf>
    <xf numFmtId="0" fontId="8" fillId="0" borderId="0" xfId="0" applyFont="1"/>
    <xf numFmtId="0" fontId="8" fillId="0" borderId="0" xfId="0" quotePrefix="1" applyFont="1"/>
    <xf numFmtId="0" fontId="7" fillId="0" borderId="0" xfId="0" applyFont="1"/>
    <xf numFmtId="0" fontId="0" fillId="0" borderId="2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26" xfId="0" applyBorder="1"/>
    <xf numFmtId="0" fontId="0" fillId="0" borderId="8" xfId="0" applyBorder="1"/>
    <xf numFmtId="0" fontId="0" fillId="0" borderId="9" xfId="0" applyBorder="1"/>
    <xf numFmtId="0" fontId="0" fillId="0" borderId="29" xfId="0" applyBorder="1"/>
    <xf numFmtId="0" fontId="0" fillId="0" borderId="32" xfId="0" applyBorder="1"/>
    <xf numFmtId="0" fontId="0" fillId="4" borderId="32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54" xfId="0" applyBorder="1"/>
    <xf numFmtId="0" fontId="0" fillId="7" borderId="25" xfId="0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0" fillId="2" borderId="28" xfId="1" applyFont="1" applyFill="1" applyBorder="1" applyAlignment="1">
      <alignment horizontal="center"/>
    </xf>
    <xf numFmtId="44" fontId="0" fillId="2" borderId="23" xfId="1" applyFont="1" applyFill="1" applyBorder="1" applyAlignment="1">
      <alignment horizontal="center"/>
    </xf>
    <xf numFmtId="44" fontId="0" fillId="2" borderId="26" xfId="1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44" fontId="0" fillId="4" borderId="27" xfId="0" applyNumberFormat="1" applyFill="1" applyBorder="1"/>
    <xf numFmtId="0" fontId="0" fillId="4" borderId="28" xfId="0" applyFill="1" applyBorder="1"/>
    <xf numFmtId="44" fontId="0" fillId="4" borderId="22" xfId="0" applyNumberFormat="1" applyFill="1" applyBorder="1"/>
    <xf numFmtId="0" fontId="0" fillId="4" borderId="23" xfId="0" applyFill="1" applyBorder="1"/>
    <xf numFmtId="44" fontId="2" fillId="4" borderId="25" xfId="0" applyNumberFormat="1" applyFont="1" applyFill="1" applyBorder="1"/>
    <xf numFmtId="44" fontId="2" fillId="4" borderId="26" xfId="0" applyNumberFormat="1" applyFont="1" applyFill="1" applyBorder="1"/>
    <xf numFmtId="0" fontId="2" fillId="4" borderId="41" xfId="0" applyFont="1" applyFill="1" applyBorder="1" applyAlignment="1">
      <alignment horizontal="center"/>
    </xf>
    <xf numFmtId="44" fontId="2" fillId="4" borderId="41" xfId="1" applyFont="1" applyFill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2" fillId="4" borderId="62" xfId="0" applyFont="1" applyFill="1" applyBorder="1" applyAlignment="1">
      <alignment horizontal="center"/>
    </xf>
    <xf numFmtId="0" fontId="2" fillId="4" borderId="59" xfId="0" applyFont="1" applyFill="1" applyBorder="1" applyAlignment="1">
      <alignment horizontal="right"/>
    </xf>
    <xf numFmtId="0" fontId="0" fillId="13" borderId="24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/>
    </xf>
    <xf numFmtId="2" fontId="0" fillId="3" borderId="0" xfId="0" applyNumberFormat="1" applyFill="1"/>
    <xf numFmtId="0" fontId="0" fillId="8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2" fontId="0" fillId="0" borderId="0" xfId="0" applyNumberFormat="1" applyAlignment="1">
      <alignment horizontal="center"/>
    </xf>
    <xf numFmtId="44" fontId="0" fillId="8" borderId="0" xfId="1" applyFont="1" applyFill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quotePrefix="1"/>
    <xf numFmtId="166" fontId="0" fillId="0" borderId="0" xfId="0" applyNumberFormat="1"/>
    <xf numFmtId="9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2" fillId="8" borderId="0" xfId="0" applyNumberFormat="1" applyFont="1" applyFill="1"/>
    <xf numFmtId="2" fontId="2" fillId="8" borderId="63" xfId="0" applyNumberFormat="1" applyFont="1" applyFill="1" applyBorder="1"/>
    <xf numFmtId="2" fontId="2" fillId="5" borderId="0" xfId="0" applyNumberFormat="1" applyFont="1" applyFill="1"/>
    <xf numFmtId="0" fontId="7" fillId="0" borderId="0" xfId="0" quotePrefix="1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63" xfId="0" applyBorder="1"/>
    <xf numFmtId="0" fontId="0" fillId="0" borderId="0" xfId="0" applyAlignment="1">
      <alignment horizontal="left"/>
    </xf>
    <xf numFmtId="0" fontId="0" fillId="13" borderId="0" xfId="0" applyFill="1" applyAlignment="1">
      <alignment horizontal="center"/>
    </xf>
    <xf numFmtId="0" fontId="12" fillId="0" borderId="6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2" fontId="0" fillId="8" borderId="32" xfId="0" applyNumberFormat="1" applyFill="1" applyBorder="1" applyAlignment="1">
      <alignment horizontal="center"/>
    </xf>
    <xf numFmtId="0" fontId="0" fillId="0" borderId="52" xfId="0" applyBorder="1" applyAlignment="1">
      <alignment horizontal="center"/>
    </xf>
    <xf numFmtId="2" fontId="0" fillId="8" borderId="54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8" borderId="30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4" borderId="63" xfId="0" applyNumberForma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0" fillId="0" borderId="65" xfId="0" applyBorder="1" applyAlignment="1">
      <alignment horizontal="center"/>
    </xf>
    <xf numFmtId="2" fontId="0" fillId="16" borderId="32" xfId="0" applyNumberFormat="1" applyFill="1" applyBorder="1" applyAlignment="1">
      <alignment horizontal="center"/>
    </xf>
    <xf numFmtId="2" fontId="0" fillId="16" borderId="54" xfId="0" applyNumberFormat="1" applyFill="1" applyBorder="1" applyAlignment="1">
      <alignment horizontal="center"/>
    </xf>
    <xf numFmtId="2" fontId="6" fillId="5" borderId="0" xfId="0" applyNumberFormat="1" applyFont="1" applyFill="1" applyAlignment="1">
      <alignment horizontal="center"/>
    </xf>
    <xf numFmtId="0" fontId="0" fillId="7" borderId="0" xfId="0" applyFill="1"/>
    <xf numFmtId="0" fontId="0" fillId="17" borderId="0" xfId="0" applyFill="1"/>
    <xf numFmtId="167" fontId="0" fillId="0" borderId="0" xfId="0" applyNumberFormat="1"/>
    <xf numFmtId="167" fontId="0" fillId="8" borderId="0" xfId="0" applyNumberFormat="1" applyFill="1"/>
    <xf numFmtId="167" fontId="0" fillId="5" borderId="0" xfId="0" applyNumberFormat="1" applyFill="1"/>
    <xf numFmtId="0" fontId="10" fillId="2" borderId="0" xfId="0" applyFont="1" applyFill="1" applyAlignment="1">
      <alignment horizontal="center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19" borderId="67" xfId="0" applyFill="1" applyBorder="1"/>
    <xf numFmtId="0" fontId="0" fillId="19" borderId="68" xfId="0" applyFill="1" applyBorder="1"/>
    <xf numFmtId="167" fontId="2" fillId="7" borderId="0" xfId="0" applyNumberFormat="1" applyFont="1" applyFill="1"/>
    <xf numFmtId="0" fontId="13" fillId="17" borderId="0" xfId="0" applyFont="1" applyFill="1"/>
    <xf numFmtId="0" fontId="0" fillId="10" borderId="0" xfId="0" applyFill="1"/>
    <xf numFmtId="167" fontId="0" fillId="4" borderId="0" xfId="0" applyNumberFormat="1" applyFill="1"/>
    <xf numFmtId="167" fontId="0" fillId="10" borderId="0" xfId="0" applyNumberFormat="1" applyFill="1"/>
    <xf numFmtId="2" fontId="0" fillId="4" borderId="32" xfId="0" applyNumberFormat="1" applyFill="1" applyBorder="1" applyAlignment="1">
      <alignment horizontal="center"/>
    </xf>
    <xf numFmtId="2" fontId="0" fillId="4" borderId="54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8" borderId="30" xfId="0" applyNumberFormat="1" applyFill="1" applyBorder="1" applyAlignment="1">
      <alignment horizontal="center"/>
    </xf>
    <xf numFmtId="2" fontId="0" fillId="7" borderId="0" xfId="0" applyNumberFormat="1" applyFill="1"/>
    <xf numFmtId="2" fontId="0" fillId="7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2" fontId="0" fillId="2" borderId="0" xfId="0" applyNumberFormat="1" applyFill="1"/>
    <xf numFmtId="167" fontId="6" fillId="4" borderId="0" xfId="0" applyNumberFormat="1" applyFont="1" applyFill="1"/>
    <xf numFmtId="0" fontId="0" fillId="18" borderId="0" xfId="0" applyFill="1"/>
    <xf numFmtId="0" fontId="14" fillId="8" borderId="0" xfId="0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54" xfId="0" applyNumberForma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0" fontId="0" fillId="0" borderId="5" xfId="0" applyBorder="1"/>
    <xf numFmtId="2" fontId="0" fillId="5" borderId="6" xfId="0" applyNumberFormat="1" applyFill="1" applyBorder="1" applyAlignment="1">
      <alignment horizontal="center" vertical="center"/>
    </xf>
    <xf numFmtId="0" fontId="0" fillId="0" borderId="7" xfId="0" applyBorder="1"/>
    <xf numFmtId="2" fontId="0" fillId="5" borderId="9" xfId="0" applyNumberForma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5" borderId="8" xfId="0" applyNumberFormat="1" applyFill="1" applyBorder="1" applyAlignment="1">
      <alignment horizontal="center"/>
    </xf>
    <xf numFmtId="0" fontId="0" fillId="0" borderId="6" xfId="0" applyBorder="1"/>
    <xf numFmtId="2" fontId="0" fillId="5" borderId="0" xfId="0" applyNumberForma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0" fontId="0" fillId="0" borderId="75" xfId="0" applyBorder="1"/>
    <xf numFmtId="0" fontId="0" fillId="13" borderId="49" xfId="0" applyFill="1" applyBorder="1" applyAlignment="1">
      <alignment horizontal="center"/>
    </xf>
    <xf numFmtId="0" fontId="0" fillId="0" borderId="77" xfId="0" applyBorder="1"/>
    <xf numFmtId="0" fontId="0" fillId="0" borderId="49" xfId="0" applyBorder="1"/>
    <xf numFmtId="0" fontId="10" fillId="2" borderId="49" xfId="0" applyFont="1" applyFill="1" applyBorder="1" applyAlignment="1">
      <alignment horizontal="center"/>
    </xf>
    <xf numFmtId="0" fontId="0" fillId="10" borderId="77" xfId="0" applyFill="1" applyBorder="1" applyAlignment="1">
      <alignment horizontal="center"/>
    </xf>
    <xf numFmtId="0" fontId="0" fillId="0" borderId="49" xfId="0" applyBorder="1" applyAlignment="1">
      <alignment horizontal="center"/>
    </xf>
    <xf numFmtId="167" fontId="0" fillId="0" borderId="77" xfId="0" applyNumberFormat="1" applyBorder="1"/>
    <xf numFmtId="167" fontId="0" fillId="8" borderId="77" xfId="0" applyNumberFormat="1" applyFill="1" applyBorder="1"/>
    <xf numFmtId="0" fontId="0" fillId="10" borderId="77" xfId="0" applyFill="1" applyBorder="1"/>
    <xf numFmtId="0" fontId="0" fillId="17" borderId="49" xfId="0" applyFill="1" applyBorder="1"/>
    <xf numFmtId="167" fontId="6" fillId="4" borderId="77" xfId="0" applyNumberFormat="1" applyFont="1" applyFill="1" applyBorder="1"/>
    <xf numFmtId="0" fontId="13" fillId="17" borderId="49" xfId="0" applyFont="1" applyFill="1" applyBorder="1"/>
    <xf numFmtId="167" fontId="0" fillId="4" borderId="77" xfId="0" applyNumberFormat="1" applyFill="1" applyBorder="1"/>
    <xf numFmtId="167" fontId="2" fillId="7" borderId="79" xfId="0" applyNumberFormat="1" applyFont="1" applyFill="1" applyBorder="1"/>
    <xf numFmtId="0" fontId="0" fillId="0" borderId="79" xfId="0" applyBorder="1"/>
    <xf numFmtId="167" fontId="2" fillId="7" borderId="80" xfId="0" applyNumberFormat="1" applyFont="1" applyFill="1" applyBorder="1"/>
    <xf numFmtId="2" fontId="0" fillId="10" borderId="30" xfId="0" applyNumberFormat="1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5" borderId="6" xfId="0" applyFill="1" applyBorder="1"/>
    <xf numFmtId="0" fontId="0" fillId="3" borderId="6" xfId="0" applyFill="1" applyBorder="1"/>
    <xf numFmtId="0" fontId="10" fillId="5" borderId="5" xfId="0" applyFont="1" applyFill="1" applyBorder="1" applyAlignment="1">
      <alignment horizontal="center"/>
    </xf>
    <xf numFmtId="0" fontId="10" fillId="0" borderId="6" xfId="0" applyFont="1" applyBorder="1"/>
    <xf numFmtId="0" fontId="6" fillId="0" borderId="0" xfId="0" applyFont="1"/>
    <xf numFmtId="0" fontId="0" fillId="8" borderId="7" xfId="0" applyFill="1" applyBorder="1"/>
    <xf numFmtId="0" fontId="0" fillId="8" borderId="8" xfId="0" applyFill="1" applyBorder="1"/>
    <xf numFmtId="2" fontId="2" fillId="8" borderId="8" xfId="0" applyNumberFormat="1" applyFont="1" applyFill="1" applyBorder="1" applyAlignment="1">
      <alignment horizontal="center"/>
    </xf>
    <xf numFmtId="2" fontId="2" fillId="8" borderId="9" xfId="0" applyNumberFormat="1" applyFont="1" applyFill="1" applyBorder="1"/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2" borderId="6" xfId="0" applyFill="1" applyBorder="1"/>
    <xf numFmtId="0" fontId="0" fillId="5" borderId="5" xfId="0" applyFill="1" applyBorder="1"/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2" fontId="0" fillId="4" borderId="5" xfId="0" applyNumberFormat="1" applyFill="1" applyBorder="1"/>
    <xf numFmtId="0" fontId="0" fillId="0" borderId="23" xfId="0" applyBorder="1"/>
    <xf numFmtId="0" fontId="2" fillId="0" borderId="25" xfId="0" applyFont="1" applyBorder="1"/>
    <xf numFmtId="2" fontId="0" fillId="0" borderId="21" xfId="0" applyNumberFormat="1" applyBorder="1"/>
    <xf numFmtId="2" fontId="2" fillId="0" borderId="25" xfId="0" applyNumberFormat="1" applyFont="1" applyBorder="1"/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0" fillId="0" borderId="18" xfId="0" applyBorder="1"/>
    <xf numFmtId="2" fontId="0" fillId="0" borderId="20" xfId="0" applyNumberFormat="1" applyBorder="1"/>
    <xf numFmtId="0" fontId="6" fillId="0" borderId="21" xfId="0" applyFont="1" applyBorder="1"/>
    <xf numFmtId="2" fontId="2" fillId="0" borderId="23" xfId="0" applyNumberFormat="1" applyFont="1" applyBorder="1"/>
    <xf numFmtId="2" fontId="0" fillId="9" borderId="23" xfId="0" applyNumberFormat="1" applyFill="1" applyBorder="1"/>
    <xf numFmtId="0" fontId="2" fillId="9" borderId="25" xfId="0" applyFont="1" applyFill="1" applyBorder="1"/>
    <xf numFmtId="0" fontId="0" fillId="7" borderId="26" xfId="0" applyFill="1" applyBorder="1"/>
    <xf numFmtId="2" fontId="0" fillId="0" borderId="0" xfId="0" quotePrefix="1" applyNumberFormat="1" applyAlignment="1">
      <alignment horizontal="center"/>
    </xf>
    <xf numFmtId="0" fontId="2" fillId="8" borderId="21" xfId="0" applyFont="1" applyFill="1" applyBorder="1" applyAlignment="1">
      <alignment horizontal="center"/>
    </xf>
    <xf numFmtId="2" fontId="2" fillId="8" borderId="23" xfId="0" applyNumberFormat="1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2" fontId="2" fillId="8" borderId="26" xfId="0" applyNumberFormat="1" applyFont="1" applyFill="1" applyBorder="1" applyAlignment="1">
      <alignment horizontal="center"/>
    </xf>
    <xf numFmtId="2" fontId="0" fillId="7" borderId="26" xfId="0" applyNumberFormat="1" applyFill="1" applyBorder="1"/>
    <xf numFmtId="166" fontId="0" fillId="0" borderId="23" xfId="0" applyNumberFormat="1" applyBorder="1"/>
    <xf numFmtId="166" fontId="0" fillId="7" borderId="26" xfId="0" applyNumberFormat="1" applyFill="1" applyBorder="1"/>
    <xf numFmtId="2" fontId="0" fillId="10" borderId="0" xfId="0" applyNumberFormat="1" applyFill="1"/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10" borderId="18" xfId="0" applyFill="1" applyBorder="1" applyAlignment="1">
      <alignment horizontal="right"/>
    </xf>
    <xf numFmtId="0" fontId="0" fillId="10" borderId="19" xfId="0" applyFill="1" applyBorder="1" applyAlignment="1">
      <alignment horizontal="right"/>
    </xf>
    <xf numFmtId="0" fontId="0" fillId="11" borderId="21" xfId="0" applyFill="1" applyBorder="1" applyAlignment="1">
      <alignment horizontal="right"/>
    </xf>
    <xf numFmtId="0" fontId="0" fillId="11" borderId="22" xfId="0" applyFill="1" applyBorder="1" applyAlignment="1">
      <alignment horizontal="right"/>
    </xf>
    <xf numFmtId="42" fontId="0" fillId="4" borderId="21" xfId="0" applyNumberFormat="1" applyFill="1" applyBorder="1" applyAlignment="1">
      <alignment horizontal="left"/>
    </xf>
    <xf numFmtId="42" fontId="0" fillId="4" borderId="22" xfId="0" applyNumberFormat="1" applyFill="1" applyBorder="1" applyAlignment="1">
      <alignment horizontal="left"/>
    </xf>
    <xf numFmtId="0" fontId="0" fillId="10" borderId="21" xfId="0" applyFill="1" applyBorder="1" applyAlignment="1">
      <alignment horizontal="right" indent="1"/>
    </xf>
    <xf numFmtId="0" fontId="0" fillId="10" borderId="22" xfId="0" applyFill="1" applyBorder="1" applyAlignment="1">
      <alignment horizontal="right" indent="1"/>
    </xf>
    <xf numFmtId="0" fontId="0" fillId="11" borderId="21" xfId="0" applyFill="1" applyBorder="1" applyAlignment="1">
      <alignment horizontal="right" indent="1"/>
    </xf>
    <xf numFmtId="0" fontId="0" fillId="11" borderId="22" xfId="0" applyFill="1" applyBorder="1" applyAlignment="1">
      <alignment horizontal="right" indent="1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11" borderId="18" xfId="0" applyFill="1" applyBorder="1" applyAlignment="1">
      <alignment horizontal="right"/>
    </xf>
    <xf numFmtId="0" fontId="0" fillId="11" borderId="19" xfId="0" applyFill="1" applyBorder="1" applyAlignment="1">
      <alignment horizontal="right"/>
    </xf>
    <xf numFmtId="0" fontId="0" fillId="10" borderId="21" xfId="0" applyFill="1" applyBorder="1" applyAlignment="1">
      <alignment horizontal="right"/>
    </xf>
    <xf numFmtId="0" fontId="0" fillId="10" borderId="22" xfId="0" applyFill="1" applyBorder="1" applyAlignment="1">
      <alignment horizontal="right"/>
    </xf>
    <xf numFmtId="42" fontId="0" fillId="0" borderId="21" xfId="0" applyNumberFormat="1" applyBorder="1"/>
    <xf numFmtId="42" fontId="0" fillId="0" borderId="22" xfId="0" applyNumberFormat="1" applyBorder="1"/>
    <xf numFmtId="0" fontId="0" fillId="3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4" borderId="0" xfId="2" applyNumberFormat="1" applyFon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13" borderId="0" xfId="0" applyFill="1" applyAlignment="1">
      <alignment horizontal="center"/>
    </xf>
    <xf numFmtId="2" fontId="0" fillId="8" borderId="0" xfId="0" applyNumberFormat="1" applyFill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36" xfId="0" applyFont="1" applyFill="1" applyBorder="1" applyAlignment="1">
      <alignment horizontal="center" vertical="center" textRotation="90"/>
    </xf>
    <xf numFmtId="0" fontId="2" fillId="5" borderId="46" xfId="0" applyFont="1" applyFill="1" applyBorder="1" applyAlignment="1">
      <alignment horizontal="center" vertical="center" textRotation="90"/>
    </xf>
    <xf numFmtId="0" fontId="2" fillId="5" borderId="34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" fillId="0" borderId="6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13" borderId="18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13" borderId="30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59" xfId="0" applyFill="1" applyBorder="1" applyAlignment="1">
      <alignment horizontal="center"/>
    </xf>
    <xf numFmtId="0" fontId="0" fillId="13" borderId="60" xfId="0" applyFill="1" applyBorder="1" applyAlignment="1">
      <alignment horizontal="center"/>
    </xf>
    <xf numFmtId="0" fontId="0" fillId="13" borderId="42" xfId="0" applyFill="1" applyBorder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8" borderId="0" xfId="0" quotePrefix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8" borderId="0" xfId="0" applyFill="1" applyAlignment="1">
      <alignment horizontal="right"/>
    </xf>
    <xf numFmtId="0" fontId="0" fillId="14" borderId="0" xfId="0" quotePrefix="1" applyFill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81" xfId="0" applyNumberFormat="1" applyBorder="1" applyAlignment="1">
      <alignment horizontal="center"/>
    </xf>
    <xf numFmtId="2" fontId="0" fillId="0" borderId="82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8" borderId="0" xfId="0" applyNumberFormat="1" applyFill="1" applyAlignment="1">
      <alignment horizontal="left"/>
    </xf>
    <xf numFmtId="2" fontId="0" fillId="5" borderId="0" xfId="0" applyNumberFormat="1" applyFill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7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10" borderId="0" xfId="0" applyFill="1" applyAlignment="1">
      <alignment horizontal="left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Alignment="1">
      <alignment horizontal="left"/>
    </xf>
    <xf numFmtId="0" fontId="2" fillId="10" borderId="0" xfId="0" applyFont="1" applyFill="1" applyAlignment="1">
      <alignment horizontal="left"/>
    </xf>
    <xf numFmtId="0" fontId="0" fillId="15" borderId="0" xfId="0" applyFill="1" applyAlignment="1">
      <alignment horizontal="center"/>
    </xf>
    <xf numFmtId="0" fontId="12" fillId="0" borderId="6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" fillId="13" borderId="0" xfId="0" applyFont="1" applyFill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0" fillId="4" borderId="0" xfId="0" applyNumberFormat="1" applyFill="1" applyAlignment="1">
      <alignment horizontal="center" vertical="center"/>
    </xf>
    <xf numFmtId="2" fontId="6" fillId="7" borderId="5" xfId="0" applyNumberFormat="1" applyFon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10" borderId="49" xfId="0" applyFont="1" applyFill="1" applyBorder="1" applyAlignment="1">
      <alignment horizontal="left"/>
    </xf>
    <xf numFmtId="0" fontId="0" fillId="7" borderId="78" xfId="0" applyFill="1" applyBorder="1" applyAlignment="1">
      <alignment horizontal="left"/>
    </xf>
    <xf numFmtId="0" fontId="0" fillId="7" borderId="79" xfId="0" applyFill="1" applyBorder="1" applyAlignment="1">
      <alignment horizontal="left"/>
    </xf>
    <xf numFmtId="166" fontId="0" fillId="4" borderId="0" xfId="0" applyNumberFormat="1" applyFill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horizontal="center"/>
    </xf>
    <xf numFmtId="2" fontId="0" fillId="5" borderId="6" xfId="0" applyNumberFormat="1" applyFill="1" applyBorder="1" applyAlignment="1">
      <alignment horizontal="center" vertical="center"/>
    </xf>
    <xf numFmtId="0" fontId="2" fillId="13" borderId="74" xfId="0" applyFont="1" applyFill="1" applyBorder="1" applyAlignment="1">
      <alignment horizontal="center"/>
    </xf>
    <xf numFmtId="0" fontId="2" fillId="13" borderId="75" xfId="0" applyFont="1" applyFill="1" applyBorder="1" applyAlignment="1">
      <alignment horizontal="center"/>
    </xf>
    <xf numFmtId="0" fontId="2" fillId="13" borderId="75" xfId="0" applyFont="1" applyFill="1" applyBorder="1" applyAlignment="1">
      <alignment horizontal="center" vertical="center"/>
    </xf>
    <xf numFmtId="0" fontId="2" fillId="13" borderId="76" xfId="0" applyFont="1" applyFill="1" applyBorder="1" applyAlignment="1">
      <alignment horizontal="center" vertical="center"/>
    </xf>
    <xf numFmtId="0" fontId="0" fillId="10" borderId="49" xfId="0" applyFill="1" applyBorder="1" applyAlignment="1">
      <alignment horizontal="left"/>
    </xf>
    <xf numFmtId="0" fontId="0" fillId="20" borderId="5" xfId="0" applyFill="1" applyBorder="1" applyAlignment="1">
      <alignment horizontal="center"/>
    </xf>
    <xf numFmtId="0" fontId="0" fillId="20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6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6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1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 ̅=  (∑▒〖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𝑛_𝑖∗𝐶_𝑖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 ̅=  (∑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▒〖𝑛_𝑖∗𝐶_𝑖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27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28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30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34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35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37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45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46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48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52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53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166687</xdr:rowOff>
    </xdr:from>
    <xdr:ext cx="19941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2</xdr:col>
      <xdr:colOff>323850</xdr:colOff>
      <xdr:row>0</xdr:row>
      <xdr:rowOff>147637</xdr:rowOff>
    </xdr:from>
    <xdr:ext cx="20813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47625</xdr:colOff>
      <xdr:row>0</xdr:row>
      <xdr:rowOff>171450</xdr:rowOff>
    </xdr:from>
    <xdr:ext cx="19941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38100</xdr:colOff>
      <xdr:row>1</xdr:row>
      <xdr:rowOff>171450</xdr:rowOff>
    </xdr:from>
    <xdr:ext cx="20813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10</xdr:col>
      <xdr:colOff>38100</xdr:colOff>
      <xdr:row>3</xdr:row>
      <xdr:rowOff>185737</xdr:rowOff>
    </xdr:from>
    <xdr:ext cx="752898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fr-FR" sz="1400" b="0" i="1">
                        <a:latin typeface="Cambria Math" panose="02040503050406030204" pitchFamily="18" charset="0"/>
                      </a:rPr>
                      <m:t> /é</m:t>
                    </m:r>
                    <m:r>
                      <a:rPr lang="fr-FR" sz="1400" b="0" i="1">
                        <a:latin typeface="Cambria Math" panose="02040503050406030204" pitchFamily="18" charset="0"/>
                      </a:rPr>
                      <m:t>𝑐𝑎𝑟𝑡</m:t>
                    </m:r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𝑛_𝑖  /é𝑐𝑎𝑟𝑡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6</xdr:col>
      <xdr:colOff>33412</xdr:colOff>
      <xdr:row>10</xdr:row>
      <xdr:rowOff>171119</xdr:rowOff>
    </xdr:from>
    <xdr:ext cx="3358403" cy="4079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800" b="0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−1</m:t>
                          </m:r>
                        </m:sub>
                      </m:sSub>
                    </m:num>
                    <m:den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−1</m:t>
                              </m:r>
                            </m:sub>
                          </m:sSub>
                        </m:e>
                      </m:d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+1</m:t>
                              </m:r>
                            </m:sub>
                          </m:sSub>
                        </m:e>
                      </m:d>
                    </m:den>
                  </m:f>
                </m:oMath>
              </a14:m>
              <a:r>
                <a:rPr lang="fr-FR" sz="1800"/>
                <a:t>*</a:t>
              </a:r>
              <a14:m>
                <m:oMath xmlns:m="http://schemas.openxmlformats.org/officeDocument/2006/math">
                  <m:d>
                    <m:d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fr-FR" sz="18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e>
                  </m:d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𝑥_1+(𝑎_𝑖−𝑎_(𝑖−1))/(𝑎_𝑖−𝑎_(𝑖−1) )(𝑎_𝑖−𝑎_(𝑖+1) ) </a:t>
              </a:r>
              <a:r>
                <a:rPr lang="fr-FR" sz="1800"/>
                <a:t>*</a:t>
              </a:r>
              <a:r>
                <a:rPr lang="fr-FR" sz="1800" i="0">
                  <a:latin typeface="Cambria Math" panose="02040503050406030204" pitchFamily="18" charset="0"/>
                </a:rPr>
                <a:t>(</a:t>
              </a:r>
              <a:r>
                <a:rPr lang="fr-FR" sz="1800" b="0" i="0">
                  <a:latin typeface="Cambria Math" panose="02040503050406030204" pitchFamily="18" charset="0"/>
                </a:rPr>
                <a:t>𝑥_2−𝑥_1 )</a:t>
              </a:r>
              <a:endParaRPr lang="fr-FR" sz="18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109537</xdr:rowOff>
    </xdr:from>
    <xdr:ext cx="42428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𝑿−𝑿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4</xdr:col>
      <xdr:colOff>180975</xdr:colOff>
      <xdr:row>1</xdr:row>
      <xdr:rowOff>109537</xdr:rowOff>
    </xdr:from>
    <xdr:ext cx="405111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𝒀−𝒀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5</xdr:col>
      <xdr:colOff>19050</xdr:colOff>
      <xdr:row>1</xdr:row>
      <xdr:rowOff>119062</xdr:rowOff>
    </xdr:from>
    <xdr:ext cx="104996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47625</xdr:colOff>
      <xdr:row>1</xdr:row>
      <xdr:rowOff>138112</xdr:rowOff>
    </xdr:from>
    <xdr:ext cx="625619" cy="1980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</xdr:col>
      <xdr:colOff>209550</xdr:colOff>
      <xdr:row>14</xdr:row>
      <xdr:rowOff>9524</xdr:rowOff>
    </xdr:from>
    <xdr:ext cx="30328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𝑋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2</xdr:col>
      <xdr:colOff>438150</xdr:colOff>
      <xdr:row>14</xdr:row>
      <xdr:rowOff>23812</xdr:rowOff>
    </xdr:from>
    <xdr:ext cx="125291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𝑌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8</xdr:col>
      <xdr:colOff>66675</xdr:colOff>
      <xdr:row>4</xdr:row>
      <xdr:rowOff>23812</xdr:rowOff>
    </xdr:from>
    <xdr:ext cx="811183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𝑨𝒙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𝒀=𝑨𝒙+𝑩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</xdr:colOff>
      <xdr:row>9</xdr:row>
      <xdr:rowOff>14287</xdr:rowOff>
    </xdr:from>
    <xdr:ext cx="103464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→ 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</a:t>
              </a:r>
              <a:r>
                <a:rPr lang="fr-FR" sz="1200" b="1" i="0">
                  <a:latin typeface="Cambria Math" panose="02040503050406030204" pitchFamily="18" charset="0"/>
                </a:rPr>
                <a:t>𝑩=𝒀 ̅−𝑨𝑿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209550</xdr:colOff>
      <xdr:row>5</xdr:row>
      <xdr:rowOff>171450</xdr:rowOff>
    </xdr:from>
    <xdr:ext cx="104996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476250</xdr:colOff>
      <xdr:row>7</xdr:row>
      <xdr:rowOff>28575</xdr:rowOff>
    </xdr:from>
    <xdr:ext cx="625619" cy="1980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361949</xdr:colOff>
      <xdr:row>4</xdr:row>
      <xdr:rowOff>23812</xdr:rowOff>
    </xdr:from>
    <xdr:ext cx="119062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𝒀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fr-FR" sz="1200" b="1"/>
                <a:t> 8,57X+35,18</a:t>
              </a:r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</a:t>
              </a:r>
              <a:r>
                <a:rPr lang="fr-FR" sz="1200" b="1"/>
                <a:t> 8,57X+35,18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6</xdr:row>
      <xdr:rowOff>80962</xdr:rowOff>
    </xdr:from>
    <xdr:ext cx="1051057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400" b="1" i="1">
                        <a:latin typeface="Cambria Math" panose="02040503050406030204" pitchFamily="18" charset="0"/>
                      </a:rPr>
                      <m:t> → 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𝜷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𝒏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𝒑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𝑿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𝜷(𝒏,𝒑)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6</xdr:col>
      <xdr:colOff>17585</xdr:colOff>
      <xdr:row>6</xdr:row>
      <xdr:rowOff>72902</xdr:rowOff>
    </xdr:from>
    <xdr:ext cx="1954189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𝑷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𝑿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e>
                  </m:d>
                  <m:r>
                    <a:rPr lang="fr-FR" sz="1400" b="1" i="1">
                      <a:latin typeface="Cambria Math" panose="02040503050406030204" pitchFamily="18" charset="0"/>
                    </a:rPr>
                    <m:t>= </m:t>
                  </m:r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𝑷(𝑿=𝒌)=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11</xdr:col>
      <xdr:colOff>752475</xdr:colOff>
      <xdr:row>7</xdr:row>
      <xdr:rowOff>152400</xdr:rowOff>
    </xdr:from>
    <xdr:ext cx="259916" cy="225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8</xdr:col>
      <xdr:colOff>361950</xdr:colOff>
      <xdr:row>10</xdr:row>
      <xdr:rowOff>0</xdr:rowOff>
    </xdr:from>
    <xdr:ext cx="218393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fr-FR" sz="1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∁</m:t>
                        </m:r>
                      </m:e>
                      <m:sub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𝒏</m:t>
                        </m:r>
                      </m:sub>
                      <m:sup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sup>
                    </m:sSubSup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9</xdr:col>
      <xdr:colOff>676275</xdr:colOff>
      <xdr:row>9</xdr:row>
      <xdr:rowOff>180975</xdr:rowOff>
    </xdr:from>
    <xdr:ext cx="933910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12</xdr:col>
      <xdr:colOff>19050</xdr:colOff>
      <xdr:row>10</xdr:row>
      <xdr:rowOff>9525</xdr:rowOff>
    </xdr:from>
    <xdr:ext cx="77290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𝑷</m:t>
                    </m:r>
                    <m:d>
                      <m:d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</m:d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</a:t>
              </a:r>
              <a:endParaRPr lang="fr-FR" sz="1400" b="1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6</xdr:row>
      <xdr:rowOff>161925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242804E4-5F32-65CA-5C31-7FAC0AD5D446}"/>
                </a:ext>
              </a:extLst>
            </xdr:cNvPr>
            <xdr:cNvSpPr txBox="1"/>
          </xdr:nvSpPr>
          <xdr:spPr>
            <a:xfrm>
              <a:off x="4000500" y="1704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242804E4-5F32-65CA-5C31-7FAC0AD5D446}"/>
                </a:ext>
              </a:extLst>
            </xdr:cNvPr>
            <xdr:cNvSpPr txBox="1"/>
          </xdr:nvSpPr>
          <xdr:spPr>
            <a:xfrm>
              <a:off x="4000500" y="1704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11</xdr:col>
      <xdr:colOff>228600</xdr:colOff>
      <xdr:row>6</xdr:row>
      <xdr:rowOff>171450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17F978B9-8D81-4D06-98CC-3FFC9DFF7ECA}"/>
                </a:ext>
              </a:extLst>
            </xdr:cNvPr>
            <xdr:cNvSpPr txBox="1"/>
          </xdr:nvSpPr>
          <xdr:spPr>
            <a:xfrm>
              <a:off x="8362950" y="1714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17F978B9-8D81-4D06-98CC-3FFC9DFF7ECA}"/>
                </a:ext>
              </a:extLst>
            </xdr:cNvPr>
            <xdr:cNvSpPr txBox="1"/>
          </xdr:nvSpPr>
          <xdr:spPr>
            <a:xfrm>
              <a:off x="8362950" y="1714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twoCellAnchor>
    <xdr:from>
      <xdr:col>4</xdr:col>
      <xdr:colOff>9525</xdr:colOff>
      <xdr:row>1</xdr:row>
      <xdr:rowOff>61913</xdr:rowOff>
    </xdr:from>
    <xdr:to>
      <xdr:col>5</xdr:col>
      <xdr:colOff>376238</xdr:colOff>
      <xdr:row>2</xdr:row>
      <xdr:rowOff>157163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F8F9568F-DDA9-BA81-80F6-5DBF7183D225}"/>
            </a:ext>
          </a:extLst>
        </xdr:cNvPr>
        <xdr:cNvSpPr/>
      </xdr:nvSpPr>
      <xdr:spPr>
        <a:xfrm>
          <a:off x="2971800" y="642938"/>
          <a:ext cx="747713" cy="295275"/>
        </a:xfrm>
        <a:prstGeom prst="righ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1</xdr:colOff>
      <xdr:row>10</xdr:row>
      <xdr:rowOff>14653</xdr:rowOff>
    </xdr:from>
    <xdr:ext cx="75467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1B46C29A-98AF-4455-8AE9-F6096C131F07}"/>
                </a:ext>
              </a:extLst>
            </xdr:cNvPr>
            <xdr:cNvSpPr txBox="1"/>
          </xdr:nvSpPr>
          <xdr:spPr>
            <a:xfrm>
              <a:off x="8308732" y="2329961"/>
              <a:ext cx="754672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'p =</a:t>
              </a:r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1B46C29A-98AF-4455-8AE9-F6096C131F07}"/>
                </a:ext>
              </a:extLst>
            </xdr:cNvPr>
            <xdr:cNvSpPr txBox="1"/>
          </xdr:nvSpPr>
          <xdr:spPr>
            <a:xfrm>
              <a:off x="8308732" y="2329961"/>
              <a:ext cx="754672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'p =</a:t>
              </a:r>
            </a:p>
          </xdr:txBody>
        </xdr:sp>
      </mc:Fallback>
    </mc:AlternateContent>
    <xdr:clientData/>
  </xdr:oneCellAnchor>
  <xdr:oneCellAnchor>
    <xdr:from>
      <xdr:col>12</xdr:col>
      <xdr:colOff>16851</xdr:colOff>
      <xdr:row>9</xdr:row>
      <xdr:rowOff>183173</xdr:rowOff>
    </xdr:from>
    <xdr:ext cx="424520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AC372BAE-B209-7C5A-4C7F-067ADA8BC69C}"/>
                </a:ext>
              </a:extLst>
            </xdr:cNvPr>
            <xdr:cNvSpPr txBox="1"/>
          </xdr:nvSpPr>
          <xdr:spPr>
            <a:xfrm>
              <a:off x="9087582" y="2307981"/>
              <a:ext cx="424520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𝒑𝒒</m:t>
                            </m:r>
                          </m:num>
                          <m:den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AC372BAE-B209-7C5A-4C7F-067ADA8BC69C}"/>
                </a:ext>
              </a:extLst>
            </xdr:cNvPr>
            <xdr:cNvSpPr txBox="1"/>
          </xdr:nvSpPr>
          <xdr:spPr>
            <a:xfrm>
              <a:off x="9087582" y="2307981"/>
              <a:ext cx="424520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√(𝒑𝒒/𝒏)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7327</xdr:colOff>
      <xdr:row>12</xdr:row>
      <xdr:rowOff>189127</xdr:rowOff>
    </xdr:from>
    <xdr:ext cx="2802548" cy="299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D4414542-5AA9-4543-8093-FF23A84D4035}"/>
                </a:ext>
              </a:extLst>
            </xdr:cNvPr>
            <xdr:cNvSpPr txBox="1"/>
          </xdr:nvSpPr>
          <xdr:spPr>
            <a:xfrm>
              <a:off x="8055952" y="2913277"/>
              <a:ext cx="2802548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P(F&lt;a) =F(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)</a:t>
              </a:r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D4414542-5AA9-4543-8093-FF23A84D4035}"/>
                </a:ext>
              </a:extLst>
            </xdr:cNvPr>
            <xdr:cNvSpPr txBox="1"/>
          </xdr:nvSpPr>
          <xdr:spPr>
            <a:xfrm>
              <a:off x="8055952" y="2913277"/>
              <a:ext cx="2802548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P(F&lt;a) =F( </a:t>
              </a:r>
              <a:r>
                <a:rPr lang="fr-FR" sz="1200" b="1" i="0">
                  <a:latin typeface="Cambria Math" panose="02040503050406030204" pitchFamily="18" charset="0"/>
                </a:rPr>
                <a:t>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𝒑)</a:t>
              </a:r>
              <a:r>
                <a:rPr lang="fr-FR" sz="1200" b="1"/>
                <a:t> &lt; 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)/(𝝈^′ 𝒑)</a:t>
              </a:r>
              <a:r>
                <a:rPr lang="fr-FR" sz="1200" b="1"/>
                <a:t>)</a:t>
              </a:r>
            </a:p>
          </xdr:txBody>
        </xdr:sp>
      </mc:Fallback>
    </mc:AlternateContent>
    <xdr:clientData/>
  </xdr:oneCellAnchor>
  <xdr:oneCellAnchor>
    <xdr:from>
      <xdr:col>5</xdr:col>
      <xdr:colOff>512152</xdr:colOff>
      <xdr:row>10</xdr:row>
      <xdr:rowOff>71071</xdr:rowOff>
    </xdr:from>
    <xdr:ext cx="513618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A47EA820-0A1F-4401-A8B8-BAFBE06220EE}"/>
                </a:ext>
              </a:extLst>
            </xdr:cNvPr>
            <xdr:cNvSpPr txBox="1"/>
          </xdr:nvSpPr>
          <xdr:spPr>
            <a:xfrm>
              <a:off x="4747114" y="2386379"/>
              <a:ext cx="513618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'm =</a:t>
              </a:r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A47EA820-0A1F-4401-A8B8-BAFBE06220EE}"/>
                </a:ext>
              </a:extLst>
            </xdr:cNvPr>
            <xdr:cNvSpPr txBox="1"/>
          </xdr:nvSpPr>
          <xdr:spPr>
            <a:xfrm>
              <a:off x="4747114" y="2386379"/>
              <a:ext cx="513618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'm =</a:t>
              </a:r>
            </a:p>
          </xdr:txBody>
        </xdr:sp>
      </mc:Fallback>
    </mc:AlternateContent>
    <xdr:clientData/>
  </xdr:oneCellAnchor>
  <xdr:oneCellAnchor>
    <xdr:from>
      <xdr:col>6</xdr:col>
      <xdr:colOff>2930</xdr:colOff>
      <xdr:row>12</xdr:row>
      <xdr:rowOff>178410</xdr:rowOff>
    </xdr:from>
    <xdr:ext cx="2806945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5F4ACB13-8816-4A91-8940-C8E88C1C0D2C}"/>
                </a:ext>
              </a:extLst>
            </xdr:cNvPr>
            <xdr:cNvSpPr txBox="1"/>
          </xdr:nvSpPr>
          <xdr:spPr>
            <a:xfrm>
              <a:off x="4489205" y="2902560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acc>
                    <m:accPr>
                      <m:chr m:val="̅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𝑿</m:t>
                      </m:r>
                    </m:e>
                  </m:acc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𝒂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)=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𝒂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5F4ACB13-8816-4A91-8940-C8E88C1C0D2C}"/>
                </a:ext>
              </a:extLst>
            </xdr:cNvPr>
            <xdr:cNvSpPr txBox="1"/>
          </xdr:nvSpPr>
          <xdr:spPr>
            <a:xfrm>
              <a:off x="4489205" y="2902560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𝑷(𝑿 ̅&lt;𝒂)=𝑷((𝑿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&lt; </a:t>
              </a:r>
              <a:r>
                <a:rPr lang="fr-FR" sz="1200" b="1" i="0">
                  <a:latin typeface="Cambria Math" panose="02040503050406030204" pitchFamily="18" charset="0"/>
                </a:rPr>
                <a:t>(𝒂−𝒎′)/(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7</xdr:col>
      <xdr:colOff>171450</xdr:colOff>
      <xdr:row>9</xdr:row>
      <xdr:rowOff>152400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0BF42553-69E2-47C3-9BFA-9C3270E39D85}"/>
                </a:ext>
              </a:extLst>
            </xdr:cNvPr>
            <xdr:cNvSpPr txBox="1"/>
          </xdr:nvSpPr>
          <xdr:spPr>
            <a:xfrm>
              <a:off x="1695450" y="2848708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0BF42553-69E2-47C3-9BFA-9C3270E39D85}"/>
                </a:ext>
              </a:extLst>
            </xdr:cNvPr>
            <xdr:cNvSpPr txBox="1"/>
          </xdr:nvSpPr>
          <xdr:spPr>
            <a:xfrm>
              <a:off x="1695450" y="2848708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7</xdr:col>
      <xdr:colOff>212482</xdr:colOff>
      <xdr:row>11</xdr:row>
      <xdr:rowOff>29306</xdr:rowOff>
    </xdr:from>
    <xdr:ext cx="269038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4E97117B-B39C-46A5-ACF4-20DFEB6339BD}"/>
                </a:ext>
              </a:extLst>
            </xdr:cNvPr>
            <xdr:cNvSpPr txBox="1"/>
          </xdr:nvSpPr>
          <xdr:spPr>
            <a:xfrm>
              <a:off x="5473213" y="2542441"/>
              <a:ext cx="269038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4E97117B-B39C-46A5-ACF4-20DFEB6339BD}"/>
                </a:ext>
              </a:extLst>
            </xdr:cNvPr>
            <xdr:cNvSpPr txBox="1"/>
          </xdr:nvSpPr>
          <xdr:spPr>
            <a:xfrm>
              <a:off x="5473213" y="2542441"/>
              <a:ext cx="269038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74734</xdr:colOff>
      <xdr:row>6</xdr:row>
      <xdr:rowOff>178777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7EF02E4B-6CA1-4B60-9666-E8BF40844230}"/>
                </a:ext>
              </a:extLst>
            </xdr:cNvPr>
            <xdr:cNvSpPr txBox="1"/>
          </xdr:nvSpPr>
          <xdr:spPr>
            <a:xfrm>
              <a:off x="4822580" y="1717431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7EF02E4B-6CA1-4B60-9666-E8BF40844230}"/>
                </a:ext>
              </a:extLst>
            </xdr:cNvPr>
            <xdr:cNvSpPr txBox="1"/>
          </xdr:nvSpPr>
          <xdr:spPr>
            <a:xfrm>
              <a:off x="4822580" y="1717431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oneCellAnchor>
    <xdr:from>
      <xdr:col>6</xdr:col>
      <xdr:colOff>8059</xdr:colOff>
      <xdr:row>15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EE14142D-4812-FBE1-7FA6-93904C090CC0}"/>
                </a:ext>
              </a:extLst>
            </xdr:cNvPr>
            <xdr:cNvSpPr txBox="1"/>
          </xdr:nvSpPr>
          <xdr:spPr>
            <a:xfrm>
              <a:off x="4759976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EE14142D-4812-FBE1-7FA6-93904C090CC0}"/>
                </a:ext>
              </a:extLst>
            </xdr:cNvPr>
            <xdr:cNvSpPr txBox="1"/>
          </xdr:nvSpPr>
          <xdr:spPr>
            <a:xfrm>
              <a:off x="4759976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283633</xdr:colOff>
      <xdr:row>17</xdr:row>
      <xdr:rowOff>529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257C5253-4644-F4D6-DCAD-6652AE41B274}"/>
                </a:ext>
              </a:extLst>
            </xdr:cNvPr>
            <xdr:cNvSpPr txBox="1"/>
          </xdr:nvSpPr>
          <xdr:spPr>
            <a:xfrm>
              <a:off x="6046258" y="3677179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257C5253-4644-F4D6-DCAD-6652AE41B274}"/>
                </a:ext>
              </a:extLst>
            </xdr:cNvPr>
            <xdr:cNvSpPr txBox="1"/>
          </xdr:nvSpPr>
          <xdr:spPr>
            <a:xfrm>
              <a:off x="6046258" y="3677179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2930</xdr:colOff>
      <xdr:row>19</xdr:row>
      <xdr:rowOff>178410</xdr:rowOff>
    </xdr:from>
    <xdr:ext cx="2806945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23C5754E-C380-4CEB-B179-9B9FFE31FE1C}"/>
                </a:ext>
              </a:extLst>
            </xdr:cNvPr>
            <xdr:cNvSpPr txBox="1"/>
          </xdr:nvSpPr>
          <xdr:spPr>
            <a:xfrm>
              <a:off x="4489205" y="4236060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acc>
                    <m:accPr>
                      <m:chr m:val="̅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𝑿</m:t>
                      </m:r>
                    </m:e>
                  </m:acc>
                  <m:r>
                    <a:rPr lang="fr-FR" sz="1200" b="1" i="1">
                      <a:latin typeface="Cambria Math" panose="02040503050406030204" pitchFamily="18" charset="0"/>
                    </a:rPr>
                    <m:t>&gt;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𝒂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)=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&gt;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𝒂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23C5754E-C380-4CEB-B179-9B9FFE31FE1C}"/>
                </a:ext>
              </a:extLst>
            </xdr:cNvPr>
            <xdr:cNvSpPr txBox="1"/>
          </xdr:nvSpPr>
          <xdr:spPr>
            <a:xfrm>
              <a:off x="4489205" y="4236060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𝑷(𝑿 ̅&gt;𝒂)=𝑷((𝑿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&gt; </a:t>
              </a:r>
              <a:r>
                <a:rPr lang="fr-FR" sz="1200" b="1" i="0">
                  <a:latin typeface="Cambria Math" panose="02040503050406030204" pitchFamily="18" charset="0"/>
                </a:rPr>
                <a:t>(𝒂−𝒎′)/(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8059</xdr:colOff>
      <xdr:row>22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8B364614-E902-493A-848C-0A989874901A}"/>
                </a:ext>
              </a:extLst>
            </xdr:cNvPr>
            <xdr:cNvSpPr txBox="1"/>
          </xdr:nvSpPr>
          <xdr:spPr>
            <a:xfrm>
              <a:off x="4759976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8B364614-E902-493A-848C-0A989874901A}"/>
                </a:ext>
              </a:extLst>
            </xdr:cNvPr>
            <xdr:cNvSpPr txBox="1"/>
          </xdr:nvSpPr>
          <xdr:spPr>
            <a:xfrm>
              <a:off x="4759976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302683</xdr:colOff>
      <xdr:row>23</xdr:row>
      <xdr:rowOff>171979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48B9C285-D633-4B3D-9014-7D2BF904AC16}"/>
                </a:ext>
              </a:extLst>
            </xdr:cNvPr>
            <xdr:cNvSpPr txBox="1"/>
          </xdr:nvSpPr>
          <xdr:spPr>
            <a:xfrm>
              <a:off x="6065308" y="4991629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48B9C285-D633-4B3D-9014-7D2BF904AC16}"/>
                </a:ext>
              </a:extLst>
            </xdr:cNvPr>
            <xdr:cNvSpPr txBox="1"/>
          </xdr:nvSpPr>
          <xdr:spPr>
            <a:xfrm>
              <a:off x="6065308" y="4991629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8059</xdr:colOff>
      <xdr:row>22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3F565991-34F3-4A0E-8497-F9BEE5DCB6DD}"/>
                </a:ext>
              </a:extLst>
            </xdr:cNvPr>
            <xdr:cNvSpPr txBox="1"/>
          </xdr:nvSpPr>
          <xdr:spPr>
            <a:xfrm>
              <a:off x="4495392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&gt;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3F565991-34F3-4A0E-8497-F9BEE5DCB6DD}"/>
                </a:ext>
              </a:extLst>
            </xdr:cNvPr>
            <xdr:cNvSpPr txBox="1"/>
          </xdr:nvSpPr>
          <xdr:spPr>
            <a:xfrm>
              <a:off x="4495392" y="3489569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𝑷(𝑻&gt;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2930</xdr:colOff>
      <xdr:row>26</xdr:row>
      <xdr:rowOff>178410</xdr:rowOff>
    </xdr:from>
    <xdr:ext cx="2802183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5E7F18BF-C7E1-4B08-896E-DDF90A89AAE7}"/>
                </a:ext>
              </a:extLst>
            </xdr:cNvPr>
            <xdr:cNvSpPr txBox="1"/>
          </xdr:nvSpPr>
          <xdr:spPr>
            <a:xfrm>
              <a:off x="4489205" y="5569560"/>
              <a:ext cx="2802183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)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𝒃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5E7F18BF-C7E1-4B08-896E-DDF90A89AAE7}"/>
                </a:ext>
              </a:extLst>
            </xdr:cNvPr>
            <xdr:cNvSpPr txBox="1"/>
          </xdr:nvSpPr>
          <xdr:spPr>
            <a:xfrm>
              <a:off x="4489205" y="5569560"/>
              <a:ext cx="2802183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−𝒎′)/(𝝈^′ 𝒎)</a:t>
              </a:r>
              <a:r>
                <a:rPr lang="fr-FR" sz="1200" b="1" i="0">
                  <a:latin typeface="Cambria Math" panose="02040503050406030204" pitchFamily="18" charset="0"/>
                </a:rPr>
                <a:t>&lt;((𝑿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) &lt; </a:t>
              </a:r>
              <a:r>
                <a:rPr lang="fr-FR" sz="1200" b="1" i="0">
                  <a:latin typeface="Cambria Math" panose="02040503050406030204" pitchFamily="18" charset="0"/>
                </a:rPr>
                <a:t>(𝒃−𝒎′)/(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7</xdr:col>
      <xdr:colOff>516058</xdr:colOff>
      <xdr:row>29</xdr:row>
      <xdr:rowOff>161110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A6AC3108-7C6F-47BE-B48D-D6533A591D88}"/>
                </a:ext>
              </a:extLst>
            </xdr:cNvPr>
            <xdr:cNvSpPr txBox="1"/>
          </xdr:nvSpPr>
          <xdr:spPr>
            <a:xfrm>
              <a:off x="5516683" y="5749110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A6AC3108-7C6F-47BE-B48D-D6533A591D88}"/>
                </a:ext>
              </a:extLst>
            </xdr:cNvPr>
            <xdr:cNvSpPr txBox="1"/>
          </xdr:nvSpPr>
          <xdr:spPr>
            <a:xfrm>
              <a:off x="5516683" y="5749110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&lt;𝑻&lt;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174624</xdr:colOff>
      <xdr:row>31</xdr:row>
      <xdr:rowOff>185738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99828547-B3BE-44E6-B9F1-6F1A5BC26858}"/>
                </a:ext>
              </a:extLst>
            </xdr:cNvPr>
            <xdr:cNvSpPr txBox="1"/>
          </xdr:nvSpPr>
          <xdr:spPr>
            <a:xfrm>
              <a:off x="4661957" y="6154738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99828547-B3BE-44E6-B9F1-6F1A5BC26858}"/>
                </a:ext>
              </a:extLst>
            </xdr:cNvPr>
            <xdr:cNvSpPr txBox="1"/>
          </xdr:nvSpPr>
          <xdr:spPr>
            <a:xfrm>
              <a:off x="4661957" y="6154738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171450</xdr:colOff>
      <xdr:row>33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5288C188-00D6-4B5A-899C-434B178839CF}"/>
                </a:ext>
              </a:extLst>
            </xdr:cNvPr>
            <xdr:cNvSpPr txBox="1"/>
          </xdr:nvSpPr>
          <xdr:spPr>
            <a:xfrm>
              <a:off x="4657725" y="63436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5288C188-00D6-4B5A-899C-434B178839CF}"/>
                </a:ext>
              </a:extLst>
            </xdr:cNvPr>
            <xdr:cNvSpPr txBox="1"/>
          </xdr:nvSpPr>
          <xdr:spPr>
            <a:xfrm>
              <a:off x="4657725" y="63436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16</xdr:col>
      <xdr:colOff>190500</xdr:colOff>
      <xdr:row>6</xdr:row>
      <xdr:rowOff>161925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5925EE23-E3E5-44BD-8BA5-5F06E2ADAD84}"/>
                </a:ext>
              </a:extLst>
            </xdr:cNvPr>
            <xdr:cNvSpPr txBox="1"/>
          </xdr:nvSpPr>
          <xdr:spPr>
            <a:xfrm>
              <a:off x="952500" y="1704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5925EE23-E3E5-44BD-8BA5-5F06E2ADAD84}"/>
                </a:ext>
              </a:extLst>
            </xdr:cNvPr>
            <xdr:cNvSpPr txBox="1"/>
          </xdr:nvSpPr>
          <xdr:spPr>
            <a:xfrm>
              <a:off x="952500" y="1704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twoCellAnchor>
    <xdr:from>
      <xdr:col>14</xdr:col>
      <xdr:colOff>757238</xdr:colOff>
      <xdr:row>1</xdr:row>
      <xdr:rowOff>0</xdr:rowOff>
    </xdr:from>
    <xdr:to>
      <xdr:col>15</xdr:col>
      <xdr:colOff>761999</xdr:colOff>
      <xdr:row>2</xdr:row>
      <xdr:rowOff>66675</xdr:rowOff>
    </xdr:to>
    <xdr:sp macro="" textlink="">
      <xdr:nvSpPr>
        <xdr:cNvPr id="42" name="Flèche : gauche 41">
          <a:extLst>
            <a:ext uri="{FF2B5EF4-FFF2-40B4-BE49-F238E27FC236}">
              <a16:creationId xmlns:a16="http://schemas.microsoft.com/office/drawing/2014/main" id="{CF8F04A5-B80B-4B0E-75E6-FC1ABF02816F}"/>
            </a:ext>
          </a:extLst>
        </xdr:cNvPr>
        <xdr:cNvSpPr/>
      </xdr:nvSpPr>
      <xdr:spPr>
        <a:xfrm>
          <a:off x="10844213" y="533400"/>
          <a:ext cx="766761" cy="31432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0</xdr:colOff>
      <xdr:row>16</xdr:row>
      <xdr:rowOff>0</xdr:rowOff>
    </xdr:from>
    <xdr:ext cx="78105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53CA89C5-6475-4C10-AD9E-C1B30D502C03}"/>
                </a:ext>
              </a:extLst>
            </xdr:cNvPr>
            <xdr:cNvSpPr txBox="1"/>
          </xdr:nvSpPr>
          <xdr:spPr>
            <a:xfrm>
              <a:off x="8048625" y="3486150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53CA89C5-6475-4C10-AD9E-C1B30D502C03}"/>
                </a:ext>
              </a:extLst>
            </xdr:cNvPr>
            <xdr:cNvSpPr txBox="1"/>
          </xdr:nvSpPr>
          <xdr:spPr>
            <a:xfrm>
              <a:off x="8048625" y="3486150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13</xdr:col>
      <xdr:colOff>285750</xdr:colOff>
      <xdr:row>16</xdr:row>
      <xdr:rowOff>185737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4A8D5DED-72DB-4795-84E7-119AA309B8E3}"/>
                </a:ext>
              </a:extLst>
            </xdr:cNvPr>
            <xdr:cNvSpPr txBox="1"/>
          </xdr:nvSpPr>
          <xdr:spPr>
            <a:xfrm>
              <a:off x="9610725" y="3671887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4A8D5DED-72DB-4795-84E7-119AA309B8E3}"/>
                </a:ext>
              </a:extLst>
            </xdr:cNvPr>
            <xdr:cNvSpPr txBox="1"/>
          </xdr:nvSpPr>
          <xdr:spPr>
            <a:xfrm>
              <a:off x="9610725" y="3671887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20</xdr:row>
      <xdr:rowOff>0</xdr:rowOff>
    </xdr:from>
    <xdr:ext cx="2802548" cy="299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EBD7A327-D286-4D92-8DA5-9D0EF78587E2}"/>
                </a:ext>
              </a:extLst>
            </xdr:cNvPr>
            <xdr:cNvSpPr txBox="1"/>
          </xdr:nvSpPr>
          <xdr:spPr>
            <a:xfrm>
              <a:off x="8048625" y="4248150"/>
              <a:ext cx="2802548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P(F&gt;a) =F(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 &gt;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)</a:t>
              </a:r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EBD7A327-D286-4D92-8DA5-9D0EF78587E2}"/>
                </a:ext>
              </a:extLst>
            </xdr:cNvPr>
            <xdr:cNvSpPr txBox="1"/>
          </xdr:nvSpPr>
          <xdr:spPr>
            <a:xfrm>
              <a:off x="8048625" y="4248150"/>
              <a:ext cx="2802548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P(F&gt;a) =F( </a:t>
              </a:r>
              <a:r>
                <a:rPr lang="fr-FR" sz="1200" b="1" i="0">
                  <a:latin typeface="Cambria Math" panose="02040503050406030204" pitchFamily="18" charset="0"/>
                </a:rPr>
                <a:t>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𝒑)</a:t>
              </a:r>
              <a:r>
                <a:rPr lang="fr-FR" sz="1200" b="1"/>
                <a:t> &gt; 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)/(𝝈^′ 𝒑)</a:t>
              </a:r>
              <a:r>
                <a:rPr lang="fr-FR" sz="1200" b="1"/>
                <a:t>)</a:t>
              </a:r>
            </a:p>
          </xdr:txBody>
        </xdr:sp>
      </mc:Fallback>
    </mc:AlternateContent>
    <xdr:clientData/>
  </xdr:oneCellAnchor>
  <xdr:oneCellAnchor>
    <xdr:from>
      <xdr:col>11</xdr:col>
      <xdr:colOff>0</xdr:colOff>
      <xdr:row>23</xdr:row>
      <xdr:rowOff>0</xdr:rowOff>
    </xdr:from>
    <xdr:ext cx="78105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42A1EBAE-C1CB-46F9-A867-CBDF6EC79B42}"/>
                </a:ext>
              </a:extLst>
            </xdr:cNvPr>
            <xdr:cNvSpPr txBox="1"/>
          </xdr:nvSpPr>
          <xdr:spPr>
            <a:xfrm>
              <a:off x="8048625" y="4819650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&gt;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42A1EBAE-C1CB-46F9-A867-CBDF6EC79B42}"/>
                </a:ext>
              </a:extLst>
            </xdr:cNvPr>
            <xdr:cNvSpPr txBox="1"/>
          </xdr:nvSpPr>
          <xdr:spPr>
            <a:xfrm>
              <a:off x="8048625" y="4819650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𝑷(𝑻&gt;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13</xdr:col>
      <xdr:colOff>290512</xdr:colOff>
      <xdr:row>23</xdr:row>
      <xdr:rowOff>171450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8140DAF9-E326-45C6-A71B-7197B58F4057}"/>
                </a:ext>
              </a:extLst>
            </xdr:cNvPr>
            <xdr:cNvSpPr txBox="1"/>
          </xdr:nvSpPr>
          <xdr:spPr>
            <a:xfrm>
              <a:off x="9615487" y="499110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8140DAF9-E326-45C6-A71B-7197B58F4057}"/>
                </a:ext>
              </a:extLst>
            </xdr:cNvPr>
            <xdr:cNvSpPr txBox="1"/>
          </xdr:nvSpPr>
          <xdr:spPr>
            <a:xfrm>
              <a:off x="9615487" y="499110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27</xdr:row>
      <xdr:rowOff>0</xdr:rowOff>
    </xdr:from>
    <xdr:ext cx="2802183" cy="2922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27CEF31C-6048-4433-BF6A-395E9DA07D50}"/>
                </a:ext>
              </a:extLst>
            </xdr:cNvPr>
            <xdr:cNvSpPr txBox="1"/>
          </xdr:nvSpPr>
          <xdr:spPr>
            <a:xfrm>
              <a:off x="8048625" y="5581650"/>
              <a:ext cx="2802183" cy="29225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′</m:t>
                      </m:r>
                    </m:den>
                  </m:f>
                </m:oMath>
              </a14:m>
              <a:r>
                <a:rPr lang="fr-FR" sz="1200" b="1"/>
                <a:t> )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𝒃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27CEF31C-6048-4433-BF6A-395E9DA07D50}"/>
                </a:ext>
              </a:extLst>
            </xdr:cNvPr>
            <xdr:cNvSpPr txBox="1"/>
          </xdr:nvSpPr>
          <xdr:spPr>
            <a:xfrm>
              <a:off x="8048625" y="5581650"/>
              <a:ext cx="2802183" cy="29225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′)/(𝝈^′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𝒑′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fr-FR" sz="1200" b="1" i="0">
                  <a:latin typeface="Cambria Math" panose="02040503050406030204" pitchFamily="18" charset="0"/>
                </a:rPr>
                <a:t>&lt;((𝑭−𝒑′)/(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𝒑′)</a:t>
              </a:r>
              <a:r>
                <a:rPr lang="fr-FR" sz="1200" b="1"/>
                <a:t> ) &lt; </a:t>
              </a:r>
              <a:r>
                <a:rPr lang="fr-FR" sz="1200" b="1" i="0">
                  <a:latin typeface="Cambria Math" panose="02040503050406030204" pitchFamily="18" charset="0"/>
                </a:rPr>
                <a:t>(𝒃−𝒑′)/(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𝒑′)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12</xdr:col>
      <xdr:colOff>257175</xdr:colOff>
      <xdr:row>30</xdr:row>
      <xdr:rowOff>0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7F6E8220-AFDD-48F5-84B1-CFE8B0574B4D}"/>
                </a:ext>
              </a:extLst>
            </xdr:cNvPr>
            <xdr:cNvSpPr txBox="1"/>
          </xdr:nvSpPr>
          <xdr:spPr>
            <a:xfrm>
              <a:off x="9067800" y="6153150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𝑭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7F6E8220-AFDD-48F5-84B1-CFE8B0574B4D}"/>
                </a:ext>
              </a:extLst>
            </xdr:cNvPr>
            <xdr:cNvSpPr txBox="1"/>
          </xdr:nvSpPr>
          <xdr:spPr>
            <a:xfrm>
              <a:off x="9067800" y="6153150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&lt;𝑭&lt;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32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6BBF685D-A330-4A61-A19A-E79EEFB1517F}"/>
                </a:ext>
              </a:extLst>
            </xdr:cNvPr>
            <xdr:cNvSpPr txBox="1"/>
          </xdr:nvSpPr>
          <xdr:spPr>
            <a:xfrm>
              <a:off x="8048625" y="65341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6BBF685D-A330-4A61-A19A-E79EEFB1517F}"/>
                </a:ext>
              </a:extLst>
            </xdr:cNvPr>
            <xdr:cNvSpPr txBox="1"/>
          </xdr:nvSpPr>
          <xdr:spPr>
            <a:xfrm>
              <a:off x="8048625" y="65341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33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B00C3824-269C-45CD-AE35-22505F7A66EE}"/>
                </a:ext>
              </a:extLst>
            </xdr:cNvPr>
            <xdr:cNvSpPr txBox="1"/>
          </xdr:nvSpPr>
          <xdr:spPr>
            <a:xfrm>
              <a:off x="8048625" y="67246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B00C3824-269C-45CD-AE35-22505F7A66EE}"/>
                </a:ext>
              </a:extLst>
            </xdr:cNvPr>
            <xdr:cNvSpPr txBox="1"/>
          </xdr:nvSpPr>
          <xdr:spPr>
            <a:xfrm>
              <a:off x="8048625" y="6724650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6</xdr:row>
      <xdr:rowOff>161925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CB52527-F1BD-440A-A72D-8C97CB5A2219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CB52527-F1BD-440A-A72D-8C97CB5A2219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oneCellAnchor>
    <xdr:from>
      <xdr:col>11</xdr:col>
      <xdr:colOff>228600</xdr:colOff>
      <xdr:row>6</xdr:row>
      <xdr:rowOff>171450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2DB6E12-4769-4BD6-8189-21BAB260E353}"/>
                </a:ext>
              </a:extLst>
            </xdr:cNvPr>
            <xdr:cNvSpPr txBox="1"/>
          </xdr:nvSpPr>
          <xdr:spPr>
            <a:xfrm>
              <a:off x="71342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2DB6E12-4769-4BD6-8189-21BAB260E353}"/>
                </a:ext>
              </a:extLst>
            </xdr:cNvPr>
            <xdr:cNvSpPr txBox="1"/>
          </xdr:nvSpPr>
          <xdr:spPr>
            <a:xfrm>
              <a:off x="71342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twoCellAnchor>
    <xdr:from>
      <xdr:col>4</xdr:col>
      <xdr:colOff>9525</xdr:colOff>
      <xdr:row>1</xdr:row>
      <xdr:rowOff>61913</xdr:rowOff>
    </xdr:from>
    <xdr:to>
      <xdr:col>5</xdr:col>
      <xdr:colOff>376238</xdr:colOff>
      <xdr:row>2</xdr:row>
      <xdr:rowOff>157163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38376554-4864-4CDB-85C6-9137DD5F9A5C}"/>
            </a:ext>
          </a:extLst>
        </xdr:cNvPr>
        <xdr:cNvSpPr/>
      </xdr:nvSpPr>
      <xdr:spPr>
        <a:xfrm>
          <a:off x="2971800" y="261938"/>
          <a:ext cx="747713" cy="295275"/>
        </a:xfrm>
        <a:prstGeom prst="righ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1</xdr:colOff>
      <xdr:row>10</xdr:row>
      <xdr:rowOff>206375</xdr:rowOff>
    </xdr:from>
    <xdr:ext cx="767602" cy="4211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302ADE35-4EBD-4CEE-8898-A2BC183F5C13}"/>
                </a:ext>
              </a:extLst>
            </xdr:cNvPr>
            <xdr:cNvSpPr txBox="1"/>
          </xdr:nvSpPr>
          <xdr:spPr>
            <a:xfrm>
              <a:off x="6908427" y="2206625"/>
              <a:ext cx="767602" cy="42115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>
                  <a:ea typeface="Cambria Math" panose="02040503050406030204" pitchFamily="18" charset="0"/>
                </a:rPr>
                <a:t>S=</a:t>
              </a:r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m</a:t>
              </a:r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302ADE35-4EBD-4CEE-8898-A2BC183F5C13}"/>
                </a:ext>
              </a:extLst>
            </xdr:cNvPr>
            <xdr:cNvSpPr txBox="1"/>
          </xdr:nvSpPr>
          <xdr:spPr>
            <a:xfrm>
              <a:off x="6908427" y="2206625"/>
              <a:ext cx="767602" cy="42115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>
                  <a:ea typeface="Cambria Math" panose="02040503050406030204" pitchFamily="18" charset="0"/>
                </a:rPr>
                <a:t>S=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m</a:t>
              </a:r>
            </a:p>
          </xdr:txBody>
        </xdr:sp>
      </mc:Fallback>
    </mc:AlternateContent>
    <xdr:clientData/>
  </xdr:oneCellAnchor>
  <xdr:oneCellAnchor>
    <xdr:from>
      <xdr:col>11</xdr:col>
      <xdr:colOff>7326</xdr:colOff>
      <xdr:row>16</xdr:row>
      <xdr:rowOff>189127</xdr:rowOff>
    </xdr:from>
    <xdr:ext cx="3040673" cy="299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90ACD9D-3801-4AA8-B600-2B3C11031F3A}"/>
                </a:ext>
              </a:extLst>
            </xdr:cNvPr>
            <xdr:cNvSpPr txBox="1"/>
          </xdr:nvSpPr>
          <xdr:spPr>
            <a:xfrm>
              <a:off x="6915752" y="3405215"/>
              <a:ext cx="3040673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P(F&lt;a) =F(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)</a:t>
              </a:r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90ACD9D-3801-4AA8-B600-2B3C11031F3A}"/>
                </a:ext>
              </a:extLst>
            </xdr:cNvPr>
            <xdr:cNvSpPr txBox="1"/>
          </xdr:nvSpPr>
          <xdr:spPr>
            <a:xfrm>
              <a:off x="6915752" y="3405215"/>
              <a:ext cx="3040673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P(F&lt;a) =F( </a:t>
              </a:r>
              <a:r>
                <a:rPr lang="fr-FR" sz="1200" b="1" i="0">
                  <a:latin typeface="Cambria Math" panose="02040503050406030204" pitchFamily="18" charset="0"/>
                </a:rPr>
                <a:t>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𝒑)</a:t>
              </a:r>
              <a:r>
                <a:rPr lang="fr-FR" sz="1200" b="1"/>
                <a:t> &lt; 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(𝒂−𝒑′)/(𝝈^′ 𝒑)</a:t>
              </a:r>
              <a:r>
                <a:rPr lang="fr-FR" sz="1200" b="1"/>
                <a:t>)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10</xdr:row>
      <xdr:rowOff>232172</xdr:rowOff>
    </xdr:from>
    <xdr:ext cx="511969" cy="3929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99F14B1-A17F-4CD2-B4E3-9303D611CDE3}"/>
                </a:ext>
              </a:extLst>
            </xdr:cNvPr>
            <xdr:cNvSpPr txBox="1"/>
          </xdr:nvSpPr>
          <xdr:spPr>
            <a:xfrm>
              <a:off x="3726656" y="2232422"/>
              <a:ext cx="511969" cy="392906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>
                  <a:ea typeface="Cambria Math" panose="02040503050406030204" pitchFamily="18" charset="0"/>
                </a:rPr>
                <a:t>S=</a:t>
              </a:r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m </a:t>
              </a:r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99F14B1-A17F-4CD2-B4E3-9303D611CDE3}"/>
                </a:ext>
              </a:extLst>
            </xdr:cNvPr>
            <xdr:cNvSpPr txBox="1"/>
          </xdr:nvSpPr>
          <xdr:spPr>
            <a:xfrm>
              <a:off x="3726656" y="2232422"/>
              <a:ext cx="511969" cy="392906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>
                  <a:ea typeface="Cambria Math" panose="02040503050406030204" pitchFamily="18" charset="0"/>
                </a:rPr>
                <a:t>S=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m </a:t>
              </a:r>
            </a:p>
          </xdr:txBody>
        </xdr:sp>
      </mc:Fallback>
    </mc:AlternateContent>
    <xdr:clientData/>
  </xdr:oneCellAnchor>
  <xdr:oneCellAnchor>
    <xdr:from>
      <xdr:col>6</xdr:col>
      <xdr:colOff>2930</xdr:colOff>
      <xdr:row>16</xdr:row>
      <xdr:rowOff>178410</xdr:rowOff>
    </xdr:from>
    <xdr:ext cx="2806945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0CBED282-74C1-4764-BAD7-5CDF274AE25D}"/>
                </a:ext>
              </a:extLst>
            </xdr:cNvPr>
            <xdr:cNvSpPr txBox="1"/>
          </xdr:nvSpPr>
          <xdr:spPr>
            <a:xfrm>
              <a:off x="3727205" y="2569185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acc>
                    <m:accPr>
                      <m:chr m:val="̅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𝑿</m:t>
                      </m:r>
                    </m:e>
                  </m:acc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𝒂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)=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𝒂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0CBED282-74C1-4764-BAD7-5CDF274AE25D}"/>
                </a:ext>
              </a:extLst>
            </xdr:cNvPr>
            <xdr:cNvSpPr txBox="1"/>
          </xdr:nvSpPr>
          <xdr:spPr>
            <a:xfrm>
              <a:off x="3727205" y="2569185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𝑷(𝑿 ̅&lt;𝒂)=𝑷((𝑿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&lt; </a:t>
              </a:r>
              <a:r>
                <a:rPr lang="fr-FR" sz="1200" b="1" i="0">
                  <a:latin typeface="Cambria Math" panose="02040503050406030204" pitchFamily="18" charset="0"/>
                </a:rPr>
                <a:t>(𝒂−𝒎′)/(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506015</xdr:colOff>
      <xdr:row>10</xdr:row>
      <xdr:rowOff>225027</xdr:rowOff>
    </xdr:from>
    <xdr:ext cx="767953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E39D7911-9FB1-4CDD-B9B7-D3B3BFB14603}"/>
                </a:ext>
              </a:extLst>
            </xdr:cNvPr>
            <xdr:cNvSpPr txBox="1"/>
          </xdr:nvSpPr>
          <xdr:spPr>
            <a:xfrm>
              <a:off x="4232671" y="2225277"/>
              <a:ext cx="767953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200" b="1"/>
                <a:t>'m*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𝟏</m:t>
                          </m:r>
                        </m:den>
                      </m:f>
                    </m:e>
                  </m:rad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E39D7911-9FB1-4CDD-B9B7-D3B3BFB14603}"/>
                </a:ext>
              </a:extLst>
            </xdr:cNvPr>
            <xdr:cNvSpPr txBox="1"/>
          </xdr:nvSpPr>
          <xdr:spPr>
            <a:xfrm>
              <a:off x="4232671" y="2225277"/>
              <a:ext cx="767953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200" b="1"/>
                <a:t>'m*</a:t>
              </a:r>
              <a:r>
                <a:rPr lang="fr-FR" sz="1200" b="1" i="0">
                  <a:latin typeface="Cambria Math" panose="02040503050406030204" pitchFamily="18" charset="0"/>
                </a:rPr>
                <a:t>√(𝒏/(𝒏−𝟏))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74734</xdr:colOff>
      <xdr:row>6</xdr:row>
      <xdr:rowOff>178777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61DB5E8C-C96D-49B3-90E3-1029E7645372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61DB5E8C-C96D-49B3-90E3-1029E7645372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6</xdr:col>
      <xdr:colOff>8059</xdr:colOff>
      <xdr:row>19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7916669-864F-46AD-B611-7D5042CE579C}"/>
                </a:ext>
              </a:extLst>
            </xdr:cNvPr>
            <xdr:cNvSpPr txBox="1"/>
          </xdr:nvSpPr>
          <xdr:spPr>
            <a:xfrm>
              <a:off x="3732334" y="31498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7916669-864F-46AD-B611-7D5042CE579C}"/>
                </a:ext>
              </a:extLst>
            </xdr:cNvPr>
            <xdr:cNvSpPr txBox="1"/>
          </xdr:nvSpPr>
          <xdr:spPr>
            <a:xfrm>
              <a:off x="3732334" y="31498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283633</xdr:colOff>
      <xdr:row>21</xdr:row>
      <xdr:rowOff>529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8C9045FF-D6EE-47C6-8209-7BB6D0E35F9D}"/>
                </a:ext>
              </a:extLst>
            </xdr:cNvPr>
            <xdr:cNvSpPr txBox="1"/>
          </xdr:nvSpPr>
          <xdr:spPr>
            <a:xfrm>
              <a:off x="5284258" y="3343804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8C9045FF-D6EE-47C6-8209-7BB6D0E35F9D}"/>
                </a:ext>
              </a:extLst>
            </xdr:cNvPr>
            <xdr:cNvSpPr txBox="1"/>
          </xdr:nvSpPr>
          <xdr:spPr>
            <a:xfrm>
              <a:off x="5284258" y="3343804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2930</xdr:colOff>
      <xdr:row>23</xdr:row>
      <xdr:rowOff>178410</xdr:rowOff>
    </xdr:from>
    <xdr:ext cx="2806945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8415294-7AFD-4A62-95BF-5A85B3AE44A6}"/>
                </a:ext>
              </a:extLst>
            </xdr:cNvPr>
            <xdr:cNvSpPr txBox="1"/>
          </xdr:nvSpPr>
          <xdr:spPr>
            <a:xfrm>
              <a:off x="3727205" y="3902685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acc>
                    <m:accPr>
                      <m:chr m:val="̅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𝑿</m:t>
                      </m:r>
                    </m:e>
                  </m:acc>
                  <m:r>
                    <a:rPr lang="fr-FR" sz="1200" b="1" i="1">
                      <a:latin typeface="Cambria Math" panose="02040503050406030204" pitchFamily="18" charset="0"/>
                    </a:rPr>
                    <m:t>&gt;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𝒂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)=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&gt;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𝒂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8415294-7AFD-4A62-95BF-5A85B3AE44A6}"/>
                </a:ext>
              </a:extLst>
            </xdr:cNvPr>
            <xdr:cNvSpPr txBox="1"/>
          </xdr:nvSpPr>
          <xdr:spPr>
            <a:xfrm>
              <a:off x="3727205" y="3902685"/>
              <a:ext cx="2806945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𝑷(𝑿 ̅&gt;𝒂)=𝑷((𝑿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&gt; </a:t>
              </a:r>
              <a:r>
                <a:rPr lang="fr-FR" sz="1200" b="1" i="0">
                  <a:latin typeface="Cambria Math" panose="02040503050406030204" pitchFamily="18" charset="0"/>
                </a:rPr>
                <a:t>(𝒂−𝒎′)/(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8059</xdr:colOff>
      <xdr:row>26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8048299B-CBAF-408D-8D41-CFE3767840F8}"/>
                </a:ext>
              </a:extLst>
            </xdr:cNvPr>
            <xdr:cNvSpPr txBox="1"/>
          </xdr:nvSpPr>
          <xdr:spPr>
            <a:xfrm>
              <a:off x="3732334" y="44833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8048299B-CBAF-408D-8D41-CFE3767840F8}"/>
                </a:ext>
              </a:extLst>
            </xdr:cNvPr>
            <xdr:cNvSpPr txBox="1"/>
          </xdr:nvSpPr>
          <xdr:spPr>
            <a:xfrm>
              <a:off x="3732334" y="44833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302683</xdr:colOff>
      <xdr:row>27</xdr:row>
      <xdr:rowOff>171979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FB566EE8-28E5-418D-AE0E-A05733221D9D}"/>
                </a:ext>
              </a:extLst>
            </xdr:cNvPr>
            <xdr:cNvSpPr txBox="1"/>
          </xdr:nvSpPr>
          <xdr:spPr>
            <a:xfrm>
              <a:off x="5303308" y="4658254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FB566EE8-28E5-418D-AE0E-A05733221D9D}"/>
                </a:ext>
              </a:extLst>
            </xdr:cNvPr>
            <xdr:cNvSpPr txBox="1"/>
          </xdr:nvSpPr>
          <xdr:spPr>
            <a:xfrm>
              <a:off x="5303308" y="4658254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8059</xdr:colOff>
      <xdr:row>26</xdr:row>
      <xdr:rowOff>187569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DA2BBDFE-F87B-4E7A-BF5C-735DB1CBE173}"/>
                </a:ext>
              </a:extLst>
            </xdr:cNvPr>
            <xdr:cNvSpPr txBox="1"/>
          </xdr:nvSpPr>
          <xdr:spPr>
            <a:xfrm>
              <a:off x="3732334" y="44833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&gt;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DA2BBDFE-F87B-4E7A-BF5C-735DB1CBE173}"/>
                </a:ext>
              </a:extLst>
            </xdr:cNvPr>
            <xdr:cNvSpPr txBox="1"/>
          </xdr:nvSpPr>
          <xdr:spPr>
            <a:xfrm>
              <a:off x="3732334" y="4483344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𝑷(𝑻&gt;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2930</xdr:colOff>
      <xdr:row>30</xdr:row>
      <xdr:rowOff>178410</xdr:rowOff>
    </xdr:from>
    <xdr:ext cx="2802183" cy="2839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389347C-4935-4118-903C-BAFAFDD73407}"/>
                </a:ext>
              </a:extLst>
            </xdr:cNvPr>
            <xdr:cNvSpPr txBox="1"/>
          </xdr:nvSpPr>
          <xdr:spPr>
            <a:xfrm>
              <a:off x="3727205" y="5236185"/>
              <a:ext cx="2802183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</m:acc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</m:oMath>
              </a14:m>
              <a:r>
                <a:rPr lang="fr-FR" sz="1200" b="1"/>
                <a:t> )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𝒃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𝒎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389347C-4935-4118-903C-BAFAFDD73407}"/>
                </a:ext>
              </a:extLst>
            </xdr:cNvPr>
            <xdr:cNvSpPr txBox="1"/>
          </xdr:nvSpPr>
          <xdr:spPr>
            <a:xfrm>
              <a:off x="3727205" y="5236185"/>
              <a:ext cx="2802183" cy="28392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(𝒂−𝒎′)/(𝝈^′ 𝒎)</a:t>
              </a:r>
              <a:r>
                <a:rPr lang="fr-FR" sz="1200" b="1" i="0">
                  <a:latin typeface="Cambria Math" panose="02040503050406030204" pitchFamily="18" charset="0"/>
                </a:rPr>
                <a:t>&lt;((𝑿 ̅−𝒎′)/(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/>
                <a:t> ) &lt; </a:t>
              </a:r>
              <a:r>
                <a:rPr lang="fr-FR" sz="1200" b="1" i="0">
                  <a:latin typeface="Cambria Math" panose="02040503050406030204" pitchFamily="18" charset="0"/>
                </a:rPr>
                <a:t>(𝒃−𝒎′)/(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𝒎)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7</xdr:col>
      <xdr:colOff>516058</xdr:colOff>
      <xdr:row>33</xdr:row>
      <xdr:rowOff>161110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09C3BBD3-B668-4861-A6F2-F9F335AA6592}"/>
                </a:ext>
              </a:extLst>
            </xdr:cNvPr>
            <xdr:cNvSpPr txBox="1"/>
          </xdr:nvSpPr>
          <xdr:spPr>
            <a:xfrm>
              <a:off x="4754683" y="5790385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09C3BBD3-B668-4861-A6F2-F9F335AA6592}"/>
                </a:ext>
              </a:extLst>
            </xdr:cNvPr>
            <xdr:cNvSpPr txBox="1"/>
          </xdr:nvSpPr>
          <xdr:spPr>
            <a:xfrm>
              <a:off x="4754683" y="5790385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&lt;𝑻&lt;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174624</xdr:colOff>
      <xdr:row>35</xdr:row>
      <xdr:rowOff>185738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3F01C83D-0785-4D29-ABFE-7293450D0032}"/>
                </a:ext>
              </a:extLst>
            </xdr:cNvPr>
            <xdr:cNvSpPr txBox="1"/>
          </xdr:nvSpPr>
          <xdr:spPr>
            <a:xfrm>
              <a:off x="3898899" y="6196013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3F01C83D-0785-4D29-ABFE-7293450D0032}"/>
                </a:ext>
              </a:extLst>
            </xdr:cNvPr>
            <xdr:cNvSpPr txBox="1"/>
          </xdr:nvSpPr>
          <xdr:spPr>
            <a:xfrm>
              <a:off x="3898899" y="6196013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171450</xdr:colOff>
      <xdr:row>37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D17E13FD-1B8C-402D-885F-282498E9AD08}"/>
                </a:ext>
              </a:extLst>
            </xdr:cNvPr>
            <xdr:cNvSpPr txBox="1"/>
          </xdr:nvSpPr>
          <xdr:spPr>
            <a:xfrm>
              <a:off x="3895725" y="63912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D17E13FD-1B8C-402D-885F-282498E9AD08}"/>
                </a:ext>
              </a:extLst>
            </xdr:cNvPr>
            <xdr:cNvSpPr txBox="1"/>
          </xdr:nvSpPr>
          <xdr:spPr>
            <a:xfrm>
              <a:off x="3895725" y="63912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16</xdr:col>
      <xdr:colOff>349250</xdr:colOff>
      <xdr:row>6</xdr:row>
      <xdr:rowOff>177800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DAD5CB41-DAA0-4B70-86A0-721317CAF527}"/>
                </a:ext>
              </a:extLst>
            </xdr:cNvPr>
            <xdr:cNvSpPr txBox="1"/>
          </xdr:nvSpPr>
          <xdr:spPr>
            <a:xfrm>
              <a:off x="10771188" y="13366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DAD5CB41-DAA0-4B70-86A0-721317CAF527}"/>
                </a:ext>
              </a:extLst>
            </xdr:cNvPr>
            <xdr:cNvSpPr txBox="1"/>
          </xdr:nvSpPr>
          <xdr:spPr>
            <a:xfrm>
              <a:off x="10771188" y="13366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twoCellAnchor>
    <xdr:from>
      <xdr:col>14</xdr:col>
      <xdr:colOff>757238</xdr:colOff>
      <xdr:row>1</xdr:row>
      <xdr:rowOff>0</xdr:rowOff>
    </xdr:from>
    <xdr:to>
      <xdr:col>15</xdr:col>
      <xdr:colOff>761999</xdr:colOff>
      <xdr:row>2</xdr:row>
      <xdr:rowOff>66675</xdr:rowOff>
    </xdr:to>
    <xdr:sp macro="" textlink="">
      <xdr:nvSpPr>
        <xdr:cNvPr id="25" name="Flèche : gauche 24">
          <a:extLst>
            <a:ext uri="{FF2B5EF4-FFF2-40B4-BE49-F238E27FC236}">
              <a16:creationId xmlns:a16="http://schemas.microsoft.com/office/drawing/2014/main" id="{09FB434E-0987-4817-B07B-002BF31BC9C3}"/>
            </a:ext>
          </a:extLst>
        </xdr:cNvPr>
        <xdr:cNvSpPr/>
      </xdr:nvSpPr>
      <xdr:spPr>
        <a:xfrm>
          <a:off x="9701213" y="200025"/>
          <a:ext cx="719136" cy="266700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0</xdr:colOff>
      <xdr:row>20</xdr:row>
      <xdr:rowOff>0</xdr:rowOff>
    </xdr:from>
    <xdr:ext cx="78105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47099AB9-0571-4C64-B583-1DB56B09AB09}"/>
                </a:ext>
              </a:extLst>
            </xdr:cNvPr>
            <xdr:cNvSpPr txBox="1"/>
          </xdr:nvSpPr>
          <xdr:spPr>
            <a:xfrm>
              <a:off x="6905625" y="3152775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47099AB9-0571-4C64-B583-1DB56B09AB09}"/>
                </a:ext>
              </a:extLst>
            </xdr:cNvPr>
            <xdr:cNvSpPr txBox="1"/>
          </xdr:nvSpPr>
          <xdr:spPr>
            <a:xfrm>
              <a:off x="6905625" y="3152775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𝑷(𝑻&lt;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13</xdr:col>
      <xdr:colOff>285750</xdr:colOff>
      <xdr:row>20</xdr:row>
      <xdr:rowOff>185737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2B384E17-7C29-4BBB-9B2E-B8C220FFCAB0}"/>
                </a:ext>
              </a:extLst>
            </xdr:cNvPr>
            <xdr:cNvSpPr txBox="1"/>
          </xdr:nvSpPr>
          <xdr:spPr>
            <a:xfrm>
              <a:off x="8467725" y="3338512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2B384E17-7C29-4BBB-9B2E-B8C220FFCAB0}"/>
                </a:ext>
              </a:extLst>
            </xdr:cNvPr>
            <xdr:cNvSpPr txBox="1"/>
          </xdr:nvSpPr>
          <xdr:spPr>
            <a:xfrm>
              <a:off x="8467725" y="3338512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380999</xdr:colOff>
      <xdr:row>24</xdr:row>
      <xdr:rowOff>0</xdr:rowOff>
    </xdr:from>
    <xdr:ext cx="3053603" cy="299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D3D55676-D87A-4BD8-97C9-70D8F4F4A7DF}"/>
                </a:ext>
              </a:extLst>
            </xdr:cNvPr>
            <xdr:cNvSpPr txBox="1"/>
          </xdr:nvSpPr>
          <xdr:spPr>
            <a:xfrm>
              <a:off x="6908425" y="4740088"/>
              <a:ext cx="3053603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P(F&gt;a) =F(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 &gt;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</m:den>
                  </m:f>
                </m:oMath>
              </a14:m>
              <a:r>
                <a:rPr lang="fr-FR" sz="1200" b="1"/>
                <a:t>)</a:t>
              </a:r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D3D55676-D87A-4BD8-97C9-70D8F4F4A7DF}"/>
                </a:ext>
              </a:extLst>
            </xdr:cNvPr>
            <xdr:cNvSpPr txBox="1"/>
          </xdr:nvSpPr>
          <xdr:spPr>
            <a:xfrm>
              <a:off x="6908425" y="4740088"/>
              <a:ext cx="3053603" cy="29969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P(F&gt;a) =F( </a:t>
              </a:r>
              <a:r>
                <a:rPr lang="fr-FR" sz="1200" b="1" i="0">
                  <a:latin typeface="Cambria Math" panose="02040503050406030204" pitchFamily="18" charset="0"/>
                </a:rPr>
                <a:t>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𝒑)</a:t>
              </a:r>
              <a:r>
                <a:rPr lang="fr-FR" sz="1200" b="1"/>
                <a:t> &gt; 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(𝒂−𝒑′)/(𝝈^′ 𝒑)</a:t>
              </a:r>
              <a:r>
                <a:rPr lang="fr-FR" sz="1200" b="1"/>
                <a:t>)</a:t>
              </a:r>
            </a:p>
          </xdr:txBody>
        </xdr:sp>
      </mc:Fallback>
    </mc:AlternateContent>
    <xdr:clientData/>
  </xdr:oneCellAnchor>
  <xdr:oneCellAnchor>
    <xdr:from>
      <xdr:col>11</xdr:col>
      <xdr:colOff>0</xdr:colOff>
      <xdr:row>27</xdr:row>
      <xdr:rowOff>0</xdr:rowOff>
    </xdr:from>
    <xdr:ext cx="78105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37F6C8C-9AF7-4EAE-9CB1-959AD362D38D}"/>
                </a:ext>
              </a:extLst>
            </xdr:cNvPr>
            <xdr:cNvSpPr txBox="1"/>
          </xdr:nvSpPr>
          <xdr:spPr>
            <a:xfrm>
              <a:off x="6905625" y="4486275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&gt;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37F6C8C-9AF7-4EAE-9CB1-959AD362D38D}"/>
                </a:ext>
              </a:extLst>
            </xdr:cNvPr>
            <xdr:cNvSpPr txBox="1"/>
          </xdr:nvSpPr>
          <xdr:spPr>
            <a:xfrm>
              <a:off x="6905625" y="4486275"/>
              <a:ext cx="781050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𝑷(𝑻&gt;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13</xdr:col>
      <xdr:colOff>290512</xdr:colOff>
      <xdr:row>27</xdr:row>
      <xdr:rowOff>171450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CBF74F2C-FED1-41C8-B23E-8ED3469F078C}"/>
                </a:ext>
              </a:extLst>
            </xdr:cNvPr>
            <xdr:cNvSpPr txBox="1"/>
          </xdr:nvSpPr>
          <xdr:spPr>
            <a:xfrm>
              <a:off x="8472487" y="465772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CBF74F2C-FED1-41C8-B23E-8ED3469F078C}"/>
                </a:ext>
              </a:extLst>
            </xdr:cNvPr>
            <xdr:cNvSpPr txBox="1"/>
          </xdr:nvSpPr>
          <xdr:spPr>
            <a:xfrm>
              <a:off x="8472487" y="465772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381000</xdr:colOff>
      <xdr:row>31</xdr:row>
      <xdr:rowOff>0</xdr:rowOff>
    </xdr:from>
    <xdr:ext cx="3053603" cy="2922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17BA8079-E72E-408B-9C36-8BB6ADBBBF3D}"/>
                </a:ext>
              </a:extLst>
            </xdr:cNvPr>
            <xdr:cNvSpPr txBox="1"/>
          </xdr:nvSpPr>
          <xdr:spPr>
            <a:xfrm>
              <a:off x="6908426" y="6073588"/>
              <a:ext cx="3053603" cy="29225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𝒂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𝑭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′</m:t>
                      </m:r>
                    </m:den>
                  </m:f>
                </m:oMath>
              </a14:m>
              <a:r>
                <a:rPr lang="fr-FR" sz="1200" b="1"/>
                <a:t> ) &lt;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𝒃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′</m:t>
                      </m:r>
                    </m:num>
                    <m:den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17BA8079-E72E-408B-9C36-8BB6ADBBBF3D}"/>
                </a:ext>
              </a:extLst>
            </xdr:cNvPr>
            <xdr:cNvSpPr txBox="1"/>
          </xdr:nvSpPr>
          <xdr:spPr>
            <a:xfrm>
              <a:off x="6908426" y="6073588"/>
              <a:ext cx="3053603" cy="29225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(𝒂−𝒑′)/(𝝈^′ 𝒑′)</a:t>
              </a:r>
              <a:r>
                <a:rPr lang="fr-FR" sz="1200" b="1" i="0">
                  <a:latin typeface="Cambria Math" panose="02040503050406030204" pitchFamily="18" charset="0"/>
                </a:rPr>
                <a:t>&lt;((𝑭−𝒑′)/(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𝒑′)</a:t>
              </a:r>
              <a:r>
                <a:rPr lang="fr-FR" sz="1200" b="1"/>
                <a:t> ) &lt; </a:t>
              </a:r>
              <a:r>
                <a:rPr lang="fr-FR" sz="1200" b="1" i="0">
                  <a:latin typeface="Cambria Math" panose="02040503050406030204" pitchFamily="18" charset="0"/>
                </a:rPr>
                <a:t>(𝒃−𝒑′)/(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 𝒑′)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12</xdr:col>
      <xdr:colOff>257175</xdr:colOff>
      <xdr:row>34</xdr:row>
      <xdr:rowOff>0</xdr:rowOff>
    </xdr:from>
    <xdr:ext cx="50523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B7B0870E-5B83-4713-A985-737C4CAC6DC1}"/>
                </a:ext>
              </a:extLst>
            </xdr:cNvPr>
            <xdr:cNvSpPr txBox="1"/>
          </xdr:nvSpPr>
          <xdr:spPr>
            <a:xfrm>
              <a:off x="7924800" y="5819775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𝑭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B7B0870E-5B83-4713-A985-737C4CAC6DC1}"/>
                </a:ext>
              </a:extLst>
            </xdr:cNvPr>
            <xdr:cNvSpPr txBox="1"/>
          </xdr:nvSpPr>
          <xdr:spPr>
            <a:xfrm>
              <a:off x="7924800" y="5819775"/>
              <a:ext cx="505231" cy="1896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</a:rPr>
                <a:t>&lt;𝑭&lt;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36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350C91B9-8BAA-46B5-9595-5770431BFD6E}"/>
                </a:ext>
              </a:extLst>
            </xdr:cNvPr>
            <xdr:cNvSpPr txBox="1"/>
          </xdr:nvSpPr>
          <xdr:spPr>
            <a:xfrm>
              <a:off x="6905625" y="62007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350C91B9-8BAA-46B5-9595-5770431BFD6E}"/>
                </a:ext>
              </a:extLst>
            </xdr:cNvPr>
            <xdr:cNvSpPr txBox="1"/>
          </xdr:nvSpPr>
          <xdr:spPr>
            <a:xfrm>
              <a:off x="6905625" y="62007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37</xdr:row>
      <xdr:rowOff>0</xdr:rowOff>
    </xdr:from>
    <xdr:ext cx="184946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D60D03A4-13EB-41FC-9865-F4A1B18224C3}"/>
                </a:ext>
              </a:extLst>
            </xdr:cNvPr>
            <xdr:cNvSpPr txBox="1"/>
          </xdr:nvSpPr>
          <xdr:spPr>
            <a:xfrm>
              <a:off x="6905625" y="63912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D60D03A4-13EB-41FC-9865-F4A1B18224C3}"/>
                </a:ext>
              </a:extLst>
            </xdr:cNvPr>
            <xdr:cNvSpPr txBox="1"/>
          </xdr:nvSpPr>
          <xdr:spPr>
            <a:xfrm>
              <a:off x="6905625" y="6391275"/>
              <a:ext cx="184946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12</xdr:row>
      <xdr:rowOff>190499</xdr:rowOff>
    </xdr:from>
    <xdr:ext cx="513618" cy="3869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96D8BBCD-1D2C-40F2-A511-62F83FFDFDA2}"/>
                </a:ext>
              </a:extLst>
            </xdr:cNvPr>
            <xdr:cNvSpPr txBox="1"/>
          </xdr:nvSpPr>
          <xdr:spPr>
            <a:xfrm>
              <a:off x="3726656" y="2619374"/>
              <a:ext cx="513618" cy="3869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p =</a:t>
              </a:r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96D8BBCD-1D2C-40F2-A511-62F83FFDFDA2}"/>
                </a:ext>
              </a:extLst>
            </xdr:cNvPr>
            <xdr:cNvSpPr txBox="1"/>
          </xdr:nvSpPr>
          <xdr:spPr>
            <a:xfrm>
              <a:off x="3726656" y="2619374"/>
              <a:ext cx="513618" cy="3869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p =</a:t>
              </a:r>
            </a:p>
          </xdr:txBody>
        </xdr:sp>
      </mc:Fallback>
    </mc:AlternateContent>
    <xdr:clientData/>
  </xdr:oneCellAnchor>
  <xdr:oneCellAnchor>
    <xdr:from>
      <xdr:col>7</xdr:col>
      <xdr:colOff>117275</xdr:colOff>
      <xdr:row>12</xdr:row>
      <xdr:rowOff>176808</xdr:rowOff>
    </xdr:from>
    <xdr:ext cx="331822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A4B4686-240B-2447-85B4-F0D92FC48BC6}"/>
                </a:ext>
              </a:extLst>
            </xdr:cNvPr>
            <xdr:cNvSpPr txBox="1"/>
          </xdr:nvSpPr>
          <xdr:spPr>
            <a:xfrm>
              <a:off x="4355900" y="2605683"/>
              <a:ext cx="331822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𝒑𝒒</m:t>
                            </m:r>
                          </m:num>
                          <m:den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A4B4686-240B-2447-85B4-F0D92FC48BC6}"/>
                </a:ext>
              </a:extLst>
            </xdr:cNvPr>
            <xdr:cNvSpPr txBox="1"/>
          </xdr:nvSpPr>
          <xdr:spPr>
            <a:xfrm>
              <a:off x="4355900" y="2605683"/>
              <a:ext cx="331822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√(𝒑𝒒/𝒏)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381000</xdr:colOff>
      <xdr:row>12</xdr:row>
      <xdr:rowOff>190499</xdr:rowOff>
    </xdr:from>
    <xdr:ext cx="773206" cy="3869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CF5EEBB-229B-4EE8-8893-40225B07B180}"/>
                </a:ext>
              </a:extLst>
            </xdr:cNvPr>
            <xdr:cNvSpPr txBox="1"/>
          </xdr:nvSpPr>
          <xdr:spPr>
            <a:xfrm>
              <a:off x="6908426" y="2622175"/>
              <a:ext cx="773206" cy="3869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p =</a:t>
              </a:r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CF5EEBB-229B-4EE8-8893-40225B07B180}"/>
                </a:ext>
              </a:extLst>
            </xdr:cNvPr>
            <xdr:cNvSpPr txBox="1"/>
          </xdr:nvSpPr>
          <xdr:spPr>
            <a:xfrm>
              <a:off x="6908426" y="2622175"/>
              <a:ext cx="773206" cy="3869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p =</a:t>
              </a:r>
            </a:p>
          </xdr:txBody>
        </xdr:sp>
      </mc:Fallback>
    </mc:AlternateContent>
    <xdr:clientData/>
  </xdr:oneCellAnchor>
  <xdr:oneCellAnchor>
    <xdr:from>
      <xdr:col>11</xdr:col>
      <xdr:colOff>762000</xdr:colOff>
      <xdr:row>10</xdr:row>
      <xdr:rowOff>240926</xdr:rowOff>
    </xdr:from>
    <xdr:ext cx="767953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AC64F68-07F6-4074-87CA-CB99E24F9FB1}"/>
                </a:ext>
              </a:extLst>
            </xdr:cNvPr>
            <xdr:cNvSpPr txBox="1"/>
          </xdr:nvSpPr>
          <xdr:spPr>
            <a:xfrm>
              <a:off x="7670426" y="2241176"/>
              <a:ext cx="767953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200" b="1"/>
                <a:t>'m*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𝟏</m:t>
                          </m:r>
                        </m:den>
                      </m:f>
                    </m:e>
                  </m:rad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AC64F68-07F6-4074-87CA-CB99E24F9FB1}"/>
                </a:ext>
              </a:extLst>
            </xdr:cNvPr>
            <xdr:cNvSpPr txBox="1"/>
          </xdr:nvSpPr>
          <xdr:spPr>
            <a:xfrm>
              <a:off x="7670426" y="2241176"/>
              <a:ext cx="767953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200" b="1"/>
                <a:t>'m*</a:t>
              </a:r>
              <a:r>
                <a:rPr lang="fr-FR" sz="1200" b="1" i="0">
                  <a:latin typeface="Cambria Math" panose="02040503050406030204" pitchFamily="18" charset="0"/>
                </a:rPr>
                <a:t>√(𝒏/(𝒏−𝟏))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12</xdr:col>
      <xdr:colOff>145676</xdr:colOff>
      <xdr:row>12</xdr:row>
      <xdr:rowOff>179294</xdr:rowOff>
    </xdr:from>
    <xdr:ext cx="331822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2AF57463-5DBE-43E4-A8CB-A1CDA2811684}"/>
                </a:ext>
              </a:extLst>
            </xdr:cNvPr>
            <xdr:cNvSpPr txBox="1"/>
          </xdr:nvSpPr>
          <xdr:spPr>
            <a:xfrm>
              <a:off x="7816102" y="2610970"/>
              <a:ext cx="331822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𝒑𝒒</m:t>
                            </m:r>
                          </m:num>
                          <m:den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2AF57463-5DBE-43E4-A8CB-A1CDA2811684}"/>
                </a:ext>
              </a:extLst>
            </xdr:cNvPr>
            <xdr:cNvSpPr txBox="1"/>
          </xdr:nvSpPr>
          <xdr:spPr>
            <a:xfrm>
              <a:off x="7816102" y="2610970"/>
              <a:ext cx="331822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√(𝒑𝒒/𝒏)</a:t>
              </a:r>
              <a:endParaRPr lang="fr-FR" sz="1200" b="1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6</xdr:row>
      <xdr:rowOff>161925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144474A-529A-4905-9472-9773C76B49B3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144474A-529A-4905-9472-9773C76B49B3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oneCellAnchor>
    <xdr:from>
      <xdr:col>11</xdr:col>
      <xdr:colOff>228600</xdr:colOff>
      <xdr:row>6</xdr:row>
      <xdr:rowOff>171450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BAB3C917-2A39-4A86-A605-80C947B935B4}"/>
                </a:ext>
              </a:extLst>
            </xdr:cNvPr>
            <xdr:cNvSpPr txBox="1"/>
          </xdr:nvSpPr>
          <xdr:spPr>
            <a:xfrm>
              <a:off x="71342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BAB3C917-2A39-4A86-A605-80C947B935B4}"/>
                </a:ext>
              </a:extLst>
            </xdr:cNvPr>
            <xdr:cNvSpPr txBox="1"/>
          </xdr:nvSpPr>
          <xdr:spPr>
            <a:xfrm>
              <a:off x="71342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twoCellAnchor>
    <xdr:from>
      <xdr:col>4</xdr:col>
      <xdr:colOff>9525</xdr:colOff>
      <xdr:row>1</xdr:row>
      <xdr:rowOff>61913</xdr:rowOff>
    </xdr:from>
    <xdr:to>
      <xdr:col>5</xdr:col>
      <xdr:colOff>376238</xdr:colOff>
      <xdr:row>2</xdr:row>
      <xdr:rowOff>157163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4233C07F-E07E-4401-ABDE-7B9931FFFD5D}"/>
            </a:ext>
          </a:extLst>
        </xdr:cNvPr>
        <xdr:cNvSpPr/>
      </xdr:nvSpPr>
      <xdr:spPr>
        <a:xfrm>
          <a:off x="2971800" y="261938"/>
          <a:ext cx="747713" cy="295275"/>
        </a:xfrm>
        <a:prstGeom prst="righ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6</xdr:col>
      <xdr:colOff>74734</xdr:colOff>
      <xdr:row>6</xdr:row>
      <xdr:rowOff>178777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68D56E12-48B9-4336-9409-5367061ADC0D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68D56E12-48B9-4336-9409-5367061ADC0D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16</xdr:col>
      <xdr:colOff>349250</xdr:colOff>
      <xdr:row>6</xdr:row>
      <xdr:rowOff>177800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421790D3-CC01-44F7-8588-E56956359FBA}"/>
                </a:ext>
              </a:extLst>
            </xdr:cNvPr>
            <xdr:cNvSpPr txBox="1"/>
          </xdr:nvSpPr>
          <xdr:spPr>
            <a:xfrm>
              <a:off x="11017250" y="133985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421790D3-CC01-44F7-8588-E56956359FBA}"/>
                </a:ext>
              </a:extLst>
            </xdr:cNvPr>
            <xdr:cNvSpPr txBox="1"/>
          </xdr:nvSpPr>
          <xdr:spPr>
            <a:xfrm>
              <a:off x="11017250" y="133985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twoCellAnchor>
    <xdr:from>
      <xdr:col>14</xdr:col>
      <xdr:colOff>757238</xdr:colOff>
      <xdr:row>1</xdr:row>
      <xdr:rowOff>0</xdr:rowOff>
    </xdr:from>
    <xdr:to>
      <xdr:col>15</xdr:col>
      <xdr:colOff>761999</xdr:colOff>
      <xdr:row>2</xdr:row>
      <xdr:rowOff>66675</xdr:rowOff>
    </xdr:to>
    <xdr:sp macro="" textlink="">
      <xdr:nvSpPr>
        <xdr:cNvPr id="22" name="Flèche : gauche 21">
          <a:extLst>
            <a:ext uri="{FF2B5EF4-FFF2-40B4-BE49-F238E27FC236}">
              <a16:creationId xmlns:a16="http://schemas.microsoft.com/office/drawing/2014/main" id="{A2BAB5AA-7220-43E5-92CC-38181EFEEFED}"/>
            </a:ext>
          </a:extLst>
        </xdr:cNvPr>
        <xdr:cNvSpPr/>
      </xdr:nvSpPr>
      <xdr:spPr>
        <a:xfrm>
          <a:off x="9948863" y="200025"/>
          <a:ext cx="719136" cy="266700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5</xdr:col>
      <xdr:colOff>375397</xdr:colOff>
      <xdr:row>11</xdr:row>
      <xdr:rowOff>7844</xdr:rowOff>
    </xdr:from>
    <xdr:ext cx="1283073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FD89E96E-7C06-0E93-0F0D-6ED19C85C97C}"/>
                </a:ext>
              </a:extLst>
            </xdr:cNvPr>
            <xdr:cNvSpPr txBox="1"/>
          </xdr:nvSpPr>
          <xdr:spPr>
            <a:xfrm>
              <a:off x="3720353" y="200809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𝒎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𝝈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𝒎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f>
                    <m:fPr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𝝈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FD89E96E-7C06-0E93-0F0D-6ED19C85C97C}"/>
                </a:ext>
              </a:extLst>
            </xdr:cNvPr>
            <xdr:cNvSpPr txBox="1"/>
          </xdr:nvSpPr>
          <xdr:spPr>
            <a:xfrm>
              <a:off x="3720353" y="200809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[𝒎−𝒕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𝝈/√</a:t>
              </a:r>
              <a:r>
                <a:rPr lang="fr-FR" sz="1200" b="1" i="0">
                  <a:latin typeface="Cambria Math" panose="02040503050406030204" pitchFamily="18" charset="0"/>
                </a:rPr>
                <a:t>𝒏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𝒎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 𝝈/√𝒏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30255</xdr:colOff>
      <xdr:row>15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02D5DE86-933E-D20E-78CC-C5DA560FEB24}"/>
                </a:ext>
              </a:extLst>
            </xdr:cNvPr>
            <xdr:cNvSpPr txBox="1"/>
          </xdr:nvSpPr>
          <xdr:spPr>
            <a:xfrm>
              <a:off x="3756211" y="2635623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02D5DE86-933E-D20E-78CC-C5DA560FEB24}"/>
                </a:ext>
              </a:extLst>
            </xdr:cNvPr>
            <xdr:cNvSpPr txBox="1"/>
          </xdr:nvSpPr>
          <xdr:spPr>
            <a:xfrm>
              <a:off x="3756211" y="2635623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287990</xdr:colOff>
      <xdr:row>12</xdr:row>
      <xdr:rowOff>41462</xdr:rowOff>
    </xdr:from>
    <xdr:ext cx="209352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07B0FAAD-13AE-2A67-CFD1-2AF6858A5717}"/>
                </a:ext>
              </a:extLst>
            </xdr:cNvPr>
            <xdr:cNvSpPr txBox="1"/>
          </xdr:nvSpPr>
          <xdr:spPr>
            <a:xfrm>
              <a:off x="5358652" y="2282638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1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fr-FR" sz="1100" b="1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07B0FAAD-13AE-2A67-CFD1-2AF6858A5717}"/>
                </a:ext>
              </a:extLst>
            </xdr:cNvPr>
            <xdr:cNvSpPr txBox="1"/>
          </xdr:nvSpPr>
          <xdr:spPr>
            <a:xfrm>
              <a:off x="5358652" y="2282638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𝝈/√</a:t>
              </a:r>
              <a:r>
                <a:rPr lang="fr-FR" sz="1100" b="1" i="0">
                  <a:latin typeface="Cambria Math" panose="02040503050406030204" pitchFamily="18" charset="0"/>
                </a:rPr>
                <a:t>𝒏</a:t>
              </a:r>
              <a:endParaRPr lang="fr-FR" sz="1100" b="1"/>
            </a:p>
          </xdr:txBody>
        </xdr:sp>
      </mc:Fallback>
    </mc:AlternateContent>
    <xdr:clientData/>
  </xdr:oneCellAnchor>
  <xdr:oneCellAnchor>
    <xdr:from>
      <xdr:col>6</xdr:col>
      <xdr:colOff>0</xdr:colOff>
      <xdr:row>15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4A875414-9D8D-4178-ADB3-E168850D3FE8}"/>
                </a:ext>
              </a:extLst>
            </xdr:cNvPr>
            <xdr:cNvSpPr txBox="1"/>
          </xdr:nvSpPr>
          <xdr:spPr>
            <a:xfrm>
              <a:off x="3725956" y="2812676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4A875414-9D8D-4178-ADB3-E168850D3FE8}"/>
                </a:ext>
              </a:extLst>
            </xdr:cNvPr>
            <xdr:cNvSpPr txBox="1"/>
          </xdr:nvSpPr>
          <xdr:spPr>
            <a:xfrm>
              <a:off x="3725956" y="2812676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44824</xdr:colOff>
      <xdr:row>17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38CD505E-FF33-49C7-8A06-027A94E1515D}"/>
                </a:ext>
              </a:extLst>
            </xdr:cNvPr>
            <xdr:cNvSpPr txBox="1"/>
          </xdr:nvSpPr>
          <xdr:spPr>
            <a:xfrm>
              <a:off x="3770780" y="321048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38CD505E-FF33-49C7-8A06-027A94E1515D}"/>
                </a:ext>
              </a:extLst>
            </xdr:cNvPr>
            <xdr:cNvSpPr txBox="1"/>
          </xdr:nvSpPr>
          <xdr:spPr>
            <a:xfrm>
              <a:off x="3770780" y="321048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19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7CDD1272-698C-4AD9-BE2B-9DC2EA117EBB}"/>
                </a:ext>
              </a:extLst>
            </xdr:cNvPr>
            <xdr:cNvSpPr txBox="1"/>
          </xdr:nvSpPr>
          <xdr:spPr>
            <a:xfrm>
              <a:off x="3725956" y="3608294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7CDD1272-698C-4AD9-BE2B-9DC2EA117EBB}"/>
                </a:ext>
              </a:extLst>
            </xdr:cNvPr>
            <xdr:cNvSpPr txBox="1"/>
          </xdr:nvSpPr>
          <xdr:spPr>
            <a:xfrm>
              <a:off x="3725956" y="3608294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5</xdr:col>
      <xdr:colOff>375397</xdr:colOff>
      <xdr:row>24</xdr:row>
      <xdr:rowOff>7844</xdr:rowOff>
    </xdr:from>
    <xdr:ext cx="1283073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42232D7C-BC7C-4235-8B92-CB4D95D06BF5}"/>
                </a:ext>
              </a:extLst>
            </xdr:cNvPr>
            <xdr:cNvSpPr txBox="1"/>
          </xdr:nvSpPr>
          <xdr:spPr>
            <a:xfrm>
              <a:off x="3720353" y="200809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𝒎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𝝈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𝒎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f>
                    <m:fPr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𝝈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42232D7C-BC7C-4235-8B92-CB4D95D06BF5}"/>
                </a:ext>
              </a:extLst>
            </xdr:cNvPr>
            <xdr:cNvSpPr txBox="1"/>
          </xdr:nvSpPr>
          <xdr:spPr>
            <a:xfrm>
              <a:off x="3720353" y="200809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[𝒎−𝒕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𝝈/√</a:t>
              </a:r>
              <a:r>
                <a:rPr lang="fr-FR" sz="1200" b="1" i="0">
                  <a:latin typeface="Cambria Math" panose="02040503050406030204" pitchFamily="18" charset="0"/>
                </a:rPr>
                <a:t>𝒏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𝒎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 𝝈/√𝒏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30255</xdr:colOff>
      <xdr:row>28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951E09B1-1C5D-4535-8634-4A6C35AA5511}"/>
                </a:ext>
              </a:extLst>
            </xdr:cNvPr>
            <xdr:cNvSpPr txBox="1"/>
          </xdr:nvSpPr>
          <xdr:spPr>
            <a:xfrm>
              <a:off x="3756211" y="2826123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951E09B1-1C5D-4535-8634-4A6C35AA5511}"/>
                </a:ext>
              </a:extLst>
            </xdr:cNvPr>
            <xdr:cNvSpPr txBox="1"/>
          </xdr:nvSpPr>
          <xdr:spPr>
            <a:xfrm>
              <a:off x="3756211" y="2826123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287990</xdr:colOff>
      <xdr:row>25</xdr:row>
      <xdr:rowOff>41462</xdr:rowOff>
    </xdr:from>
    <xdr:ext cx="209352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868644F5-160B-4A5E-9823-2ED97B49D374}"/>
                </a:ext>
              </a:extLst>
            </xdr:cNvPr>
            <xdr:cNvSpPr txBox="1"/>
          </xdr:nvSpPr>
          <xdr:spPr>
            <a:xfrm>
              <a:off x="5358652" y="2282638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1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fr-FR" sz="1100" b="1"/>
            </a:p>
          </xdr:txBody>
        </xdr:sp>
      </mc:Choice>
      <mc:Fallback xmlns="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868644F5-160B-4A5E-9823-2ED97B49D374}"/>
                </a:ext>
              </a:extLst>
            </xdr:cNvPr>
            <xdr:cNvSpPr txBox="1"/>
          </xdr:nvSpPr>
          <xdr:spPr>
            <a:xfrm>
              <a:off x="5358652" y="2282638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𝝈/√</a:t>
              </a:r>
              <a:r>
                <a:rPr lang="fr-FR" sz="1100" b="1" i="0">
                  <a:latin typeface="Cambria Math" panose="02040503050406030204" pitchFamily="18" charset="0"/>
                </a:rPr>
                <a:t>𝒏</a:t>
              </a:r>
              <a:endParaRPr lang="fr-FR" sz="1100" b="1"/>
            </a:p>
          </xdr:txBody>
        </xdr:sp>
      </mc:Fallback>
    </mc:AlternateContent>
    <xdr:clientData/>
  </xdr:oneCellAnchor>
  <xdr:oneCellAnchor>
    <xdr:from>
      <xdr:col>6</xdr:col>
      <xdr:colOff>0</xdr:colOff>
      <xdr:row>28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64BA656A-243B-470C-8AA9-17EEF083CF27}"/>
                </a:ext>
              </a:extLst>
            </xdr:cNvPr>
            <xdr:cNvSpPr txBox="1"/>
          </xdr:nvSpPr>
          <xdr:spPr>
            <a:xfrm>
              <a:off x="3725956" y="3003176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64BA656A-243B-470C-8AA9-17EEF083CF27}"/>
                </a:ext>
              </a:extLst>
            </xdr:cNvPr>
            <xdr:cNvSpPr txBox="1"/>
          </xdr:nvSpPr>
          <xdr:spPr>
            <a:xfrm>
              <a:off x="3725956" y="3003176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44824</xdr:colOff>
      <xdr:row>30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BC97E0B8-F542-4845-872C-4A33ABA05841}"/>
                </a:ext>
              </a:extLst>
            </xdr:cNvPr>
            <xdr:cNvSpPr txBox="1"/>
          </xdr:nvSpPr>
          <xdr:spPr>
            <a:xfrm>
              <a:off x="3770780" y="321048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BC97E0B8-F542-4845-872C-4A33ABA05841}"/>
                </a:ext>
              </a:extLst>
            </xdr:cNvPr>
            <xdr:cNvSpPr txBox="1"/>
          </xdr:nvSpPr>
          <xdr:spPr>
            <a:xfrm>
              <a:off x="3770780" y="321048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32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5E03B2A0-59A8-4251-AC52-9DC116F2F019}"/>
                </a:ext>
              </a:extLst>
            </xdr:cNvPr>
            <xdr:cNvSpPr txBox="1"/>
          </xdr:nvSpPr>
          <xdr:spPr>
            <a:xfrm>
              <a:off x="3725956" y="3608294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5E03B2A0-59A8-4251-AC52-9DC116F2F019}"/>
                </a:ext>
              </a:extLst>
            </xdr:cNvPr>
            <xdr:cNvSpPr txBox="1"/>
          </xdr:nvSpPr>
          <xdr:spPr>
            <a:xfrm>
              <a:off x="3725956" y="3608294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5603</xdr:colOff>
      <xdr:row>35</xdr:row>
      <xdr:rowOff>7844</xdr:rowOff>
    </xdr:from>
    <xdr:ext cx="132789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D626DF84-5E6C-F0DA-C502-9C2B73106139}"/>
                </a:ext>
              </a:extLst>
            </xdr:cNvPr>
            <xdr:cNvSpPr txBox="1"/>
          </xdr:nvSpPr>
          <xdr:spPr>
            <a:xfrm flipH="1">
              <a:off x="3731559" y="6921873"/>
              <a:ext cx="132789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P(m'-</a:t>
              </a: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𝜺</m:t>
                  </m:r>
                </m:oMath>
              </a14:m>
              <a:r>
                <a:rPr lang="fr-FR" sz="1200" b="1"/>
                <a:t>)&lt;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𝑿</m:t>
                      </m:r>
                    </m:e>
                  </m:acc>
                </m:oMath>
              </a14:m>
              <a:r>
                <a:rPr lang="fr-FR" sz="1200" b="1"/>
                <a:t>&lt;m'+</a:t>
              </a: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𝜺</m:t>
                  </m:r>
                </m:oMath>
              </a14:m>
              <a:r>
                <a:rPr lang="fr-FR" sz="1200" b="1"/>
                <a:t>)=Sc</a:t>
              </a:r>
            </a:p>
          </xdr:txBody>
        </xdr:sp>
      </mc:Choice>
      <mc:Fallback xmlns=""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D626DF84-5E6C-F0DA-C502-9C2B73106139}"/>
                </a:ext>
              </a:extLst>
            </xdr:cNvPr>
            <xdr:cNvSpPr txBox="1"/>
          </xdr:nvSpPr>
          <xdr:spPr>
            <a:xfrm flipH="1">
              <a:off x="3731559" y="6921873"/>
              <a:ext cx="132789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P(m'-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</a:t>
              </a:r>
              <a:r>
                <a:rPr lang="fr-FR" sz="1200" b="1"/>
                <a:t>)&lt;</a:t>
              </a:r>
              <a:r>
                <a:rPr lang="fr-FR" sz="1200" b="1" i="0">
                  <a:latin typeface="Cambria Math" panose="02040503050406030204" pitchFamily="18" charset="0"/>
                </a:rPr>
                <a:t>𝑿 ̅</a:t>
              </a:r>
              <a:r>
                <a:rPr lang="fr-FR" sz="1200" b="1"/>
                <a:t>&lt;m'+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</a:t>
              </a:r>
              <a:r>
                <a:rPr lang="fr-FR" sz="1200" b="1"/>
                <a:t>)=Sc</a:t>
              </a:r>
            </a:p>
          </xdr:txBody>
        </xdr:sp>
      </mc:Fallback>
    </mc:AlternateContent>
    <xdr:clientData/>
  </xdr:oneCellAnchor>
  <xdr:oneCellAnchor>
    <xdr:from>
      <xdr:col>8</xdr:col>
      <xdr:colOff>293592</xdr:colOff>
      <xdr:row>35</xdr:row>
      <xdr:rowOff>2242</xdr:rowOff>
    </xdr:from>
    <xdr:ext cx="29471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ZoneTexte 51">
              <a:extLst>
                <a:ext uri="{FF2B5EF4-FFF2-40B4-BE49-F238E27FC236}">
                  <a16:creationId xmlns:a16="http://schemas.microsoft.com/office/drawing/2014/main" id="{77E61173-DD79-E61A-51AD-A9B253D6876C}"/>
                </a:ext>
              </a:extLst>
            </xdr:cNvPr>
            <xdr:cNvSpPr txBox="1"/>
          </xdr:nvSpPr>
          <xdr:spPr>
            <a:xfrm>
              <a:off x="5364254" y="6916271"/>
              <a:ext cx="29471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𝝐</m:t>
                  </m:r>
                </m:oMath>
              </a14:m>
              <a:r>
                <a:rPr lang="fr-FR" sz="1200" b="1"/>
                <a:t> = </a:t>
              </a:r>
            </a:p>
          </xdr:txBody>
        </xdr:sp>
      </mc:Choice>
      <mc:Fallback xmlns="">
        <xdr:sp macro="" textlink="">
          <xdr:nvSpPr>
            <xdr:cNvPr id="52" name="ZoneTexte 51">
              <a:extLst>
                <a:ext uri="{FF2B5EF4-FFF2-40B4-BE49-F238E27FC236}">
                  <a16:creationId xmlns:a16="http://schemas.microsoft.com/office/drawing/2014/main" id="{77E61173-DD79-E61A-51AD-A9B253D6876C}"/>
                </a:ext>
              </a:extLst>
            </xdr:cNvPr>
            <xdr:cNvSpPr txBox="1"/>
          </xdr:nvSpPr>
          <xdr:spPr>
            <a:xfrm>
              <a:off x="5364254" y="6916271"/>
              <a:ext cx="29471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𝝐</a:t>
              </a:r>
              <a:r>
                <a:rPr lang="fr-FR" sz="1200" b="1"/>
                <a:t> = </a:t>
              </a:r>
            </a:p>
          </xdr:txBody>
        </xdr:sp>
      </mc:Fallback>
    </mc:AlternateContent>
    <xdr:clientData/>
  </xdr:oneCellAnchor>
  <xdr:oneCellAnchor>
    <xdr:from>
      <xdr:col>5</xdr:col>
      <xdr:colOff>377638</xdr:colOff>
      <xdr:row>36</xdr:row>
      <xdr:rowOff>13446</xdr:rowOff>
    </xdr:from>
    <xdr:ext cx="2177456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ZoneTexte 52">
              <a:extLst>
                <a:ext uri="{FF2B5EF4-FFF2-40B4-BE49-F238E27FC236}">
                  <a16:creationId xmlns:a16="http://schemas.microsoft.com/office/drawing/2014/main" id="{12A2AFA5-8467-D19F-38D5-2C1280D412AE}"/>
                </a:ext>
              </a:extLst>
            </xdr:cNvPr>
            <xdr:cNvSpPr txBox="1"/>
          </xdr:nvSpPr>
          <xdr:spPr>
            <a:xfrm>
              <a:off x="3722594" y="7117975"/>
              <a:ext cx="2177456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𝒎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</m:num>
                    <m:den>
                      <m:f>
                        <m:fPr>
                          <m:type m:val="li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fr-FR" sz="12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𝝈</m:t>
                              </m:r>
                            </m:e>
                            <m:sup>
                              <m:r>
                                <a:rPr lang="fr-FR" sz="12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</m:num>
                        <m:den>
                          <m:rad>
                            <m:radPr>
                              <m:degHide m:val="on"/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radPr>
                            <m:deg/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𝒏</m:t>
                              </m:r>
                            </m:e>
                          </m:rad>
                        </m:den>
                      </m:f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𝑻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f>
                        <m:fPr>
                          <m:type m:val="lin"/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𝝈</m:t>
                          </m:r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𝒏</m:t>
                              </m:r>
                            </m:e>
                          </m:rad>
                        </m:den>
                      </m:f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fr-FR" sz="1200" b="1"/>
                <a:t>=Sc</a:t>
              </a:r>
            </a:p>
          </xdr:txBody>
        </xdr:sp>
      </mc:Choice>
      <mc:Fallback xmlns="">
        <xdr:sp macro="" textlink="">
          <xdr:nvSpPr>
            <xdr:cNvPr id="53" name="ZoneTexte 52">
              <a:extLst>
                <a:ext uri="{FF2B5EF4-FFF2-40B4-BE49-F238E27FC236}">
                  <a16:creationId xmlns:a16="http://schemas.microsoft.com/office/drawing/2014/main" id="{12A2AFA5-8467-D19F-38D5-2C1280D412AE}"/>
                </a:ext>
              </a:extLst>
            </xdr:cNvPr>
            <xdr:cNvSpPr txBox="1"/>
          </xdr:nvSpPr>
          <xdr:spPr>
            <a:xfrm>
              <a:off x="3722594" y="7117975"/>
              <a:ext cx="2177456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𝑷(((𝒎^′−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𝜺)</a:t>
              </a:r>
              <a:r>
                <a:rPr lang="fr-FR" sz="1200" b="1" i="0">
                  <a:latin typeface="Cambria Math" panose="02040503050406030204" pitchFamily="18" charset="0"/>
                </a:rPr>
                <a:t>−𝒎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fr-FR" sz="1200" b="1" i="0">
                  <a:latin typeface="Cambria Math" panose="02040503050406030204" pitchFamily="18" charset="0"/>
                </a:rPr>
                <a:t>′)/(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𝝈^′∕√</a:t>
              </a:r>
              <a:r>
                <a:rPr lang="fr-FR" sz="1200" b="1" i="0">
                  <a:latin typeface="Cambria Math" panose="02040503050406030204" pitchFamily="18" charset="0"/>
                </a:rPr>
                <a:t>𝒏)&lt;𝑻&lt;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((𝒎^′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𝜺)−𝒎′)/(𝝈′∕√𝒏)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r>
                <a:rPr lang="fr-FR" sz="1200" b="1"/>
                <a:t>=Sc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38</xdr:row>
      <xdr:rowOff>11205</xdr:rowOff>
    </xdr:from>
    <xdr:ext cx="2781274" cy="3073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ZoneTexte 53">
              <a:extLst>
                <a:ext uri="{FF2B5EF4-FFF2-40B4-BE49-F238E27FC236}">
                  <a16:creationId xmlns:a16="http://schemas.microsoft.com/office/drawing/2014/main" id="{5A2175B6-E713-4B3C-9676-25EF38288249}"/>
                </a:ext>
              </a:extLst>
            </xdr:cNvPr>
            <xdr:cNvSpPr txBox="1"/>
          </xdr:nvSpPr>
          <xdr:spPr>
            <a:xfrm>
              <a:off x="3725956" y="7496734"/>
              <a:ext cx="2781274" cy="30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𝒎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𝝈</m:t>
                      </m:r>
                      <m:r>
                        <a:rPr lang="fr-FR" sz="12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∗</m:t>
                  </m:r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𝒏</m:t>
                      </m:r>
                    </m:e>
                  </m:rad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𝑻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𝝈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′</m:t>
                      </m:r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fr-FR" sz="1200" b="1"/>
                <a:t>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</m:e>
                  </m:rad>
                </m:oMath>
              </a14:m>
              <a:r>
                <a:rPr lang="fr-FR" sz="1200" b="1"/>
                <a:t>=Sc</a:t>
              </a:r>
            </a:p>
          </xdr:txBody>
        </xdr:sp>
      </mc:Choice>
      <mc:Fallback xmlns="">
        <xdr:sp macro="" textlink="">
          <xdr:nvSpPr>
            <xdr:cNvPr id="54" name="ZoneTexte 53">
              <a:extLst>
                <a:ext uri="{FF2B5EF4-FFF2-40B4-BE49-F238E27FC236}">
                  <a16:creationId xmlns:a16="http://schemas.microsoft.com/office/drawing/2014/main" id="{5A2175B6-E713-4B3C-9676-25EF38288249}"/>
                </a:ext>
              </a:extLst>
            </xdr:cNvPr>
            <xdr:cNvSpPr txBox="1"/>
          </xdr:nvSpPr>
          <xdr:spPr>
            <a:xfrm>
              <a:off x="3725956" y="7496734"/>
              <a:ext cx="2781274" cy="30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𝑷(((𝒎^′−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𝜺)</a:t>
              </a:r>
              <a:r>
                <a:rPr lang="fr-FR" sz="1200" b="1" i="0">
                  <a:latin typeface="Cambria Math" panose="02040503050406030204" pitchFamily="18" charset="0"/>
                </a:rPr>
                <a:t>−𝒎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fr-FR" sz="1200" b="1" i="0">
                  <a:latin typeface="Cambria Math" panose="02040503050406030204" pitchFamily="18" charset="0"/>
                </a:rPr>
                <a:t>′)/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𝝈′</a:t>
              </a:r>
              <a:r>
                <a:rPr lang="fr-FR" sz="1200" b="1" i="0">
                  <a:latin typeface="Cambria Math" panose="02040503050406030204" pitchFamily="18" charset="0"/>
                </a:rPr>
                <a:t>∗√𝒏&lt;𝑻&lt;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((𝒎^′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𝜺)−𝒎′)/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𝝈′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r>
                <a:rPr lang="fr-FR" sz="1200" b="1"/>
                <a:t>*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√𝒏</a:t>
              </a:r>
              <a:r>
                <a:rPr lang="fr-FR" sz="1200" b="1"/>
                <a:t>=Sc</a:t>
              </a:r>
            </a:p>
          </xdr:txBody>
        </xdr:sp>
      </mc:Fallback>
    </mc:AlternateContent>
    <xdr:clientData/>
  </xdr:oneCellAnchor>
  <xdr:oneCellAnchor>
    <xdr:from>
      <xdr:col>7</xdr:col>
      <xdr:colOff>697005</xdr:colOff>
      <xdr:row>40</xdr:row>
      <xdr:rowOff>7845</xdr:rowOff>
    </xdr:from>
    <xdr:ext cx="257186" cy="172227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3FF08F78-01AF-5AC7-3927-052E66930041}"/>
            </a:ext>
          </a:extLst>
        </xdr:cNvPr>
        <xdr:cNvSpPr txBox="1"/>
      </xdr:nvSpPr>
      <xdr:spPr>
        <a:xfrm>
          <a:off x="5140137" y="7874374"/>
          <a:ext cx="25718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fr-FR" sz="1100"/>
            <a:t>&lt; T &lt;</a:t>
          </a:r>
        </a:p>
      </xdr:txBody>
    </xdr:sp>
    <xdr:clientData/>
  </xdr:oneCellAnchor>
  <xdr:oneCellAnchor>
    <xdr:from>
      <xdr:col>7</xdr:col>
      <xdr:colOff>30256</xdr:colOff>
      <xdr:row>41</xdr:row>
      <xdr:rowOff>2241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ZoneTexte 55">
              <a:extLst>
                <a:ext uri="{FF2B5EF4-FFF2-40B4-BE49-F238E27FC236}">
                  <a16:creationId xmlns:a16="http://schemas.microsoft.com/office/drawing/2014/main" id="{DF1B59D2-FFBA-C06F-F26C-23B4FF324FFE}"/>
                </a:ext>
              </a:extLst>
            </xdr:cNvPr>
            <xdr:cNvSpPr txBox="1"/>
          </xdr:nvSpPr>
          <xdr:spPr>
            <a:xfrm>
              <a:off x="4473388" y="8059270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6" name="ZoneTexte 55">
              <a:extLst>
                <a:ext uri="{FF2B5EF4-FFF2-40B4-BE49-F238E27FC236}">
                  <a16:creationId xmlns:a16="http://schemas.microsoft.com/office/drawing/2014/main" id="{DF1B59D2-FFBA-C06F-F26C-23B4FF324FFE}"/>
                </a:ext>
              </a:extLst>
            </xdr:cNvPr>
            <xdr:cNvSpPr txBox="1"/>
          </xdr:nvSpPr>
          <xdr:spPr>
            <a:xfrm>
              <a:off x="4473388" y="8059270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28015</xdr:colOff>
      <xdr:row>41</xdr:row>
      <xdr:rowOff>0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ZoneTexte 56">
              <a:extLst>
                <a:ext uri="{FF2B5EF4-FFF2-40B4-BE49-F238E27FC236}">
                  <a16:creationId xmlns:a16="http://schemas.microsoft.com/office/drawing/2014/main" id="{8B4531D9-E7F8-4CC3-A9DE-618B7A3EAE24}"/>
                </a:ext>
              </a:extLst>
            </xdr:cNvPr>
            <xdr:cNvSpPr txBox="1"/>
          </xdr:nvSpPr>
          <xdr:spPr>
            <a:xfrm>
              <a:off x="6062383" y="8051427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7" name="ZoneTexte 56">
              <a:extLst>
                <a:ext uri="{FF2B5EF4-FFF2-40B4-BE49-F238E27FC236}">
                  <a16:creationId xmlns:a16="http://schemas.microsoft.com/office/drawing/2014/main" id="{8B4531D9-E7F8-4CC3-A9DE-618B7A3EAE24}"/>
                </a:ext>
              </a:extLst>
            </xdr:cNvPr>
            <xdr:cNvSpPr txBox="1"/>
          </xdr:nvSpPr>
          <xdr:spPr>
            <a:xfrm>
              <a:off x="6062383" y="8051427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103093</xdr:colOff>
      <xdr:row>43</xdr:row>
      <xdr:rowOff>164727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ZoneTexte 57">
              <a:extLst>
                <a:ext uri="{FF2B5EF4-FFF2-40B4-BE49-F238E27FC236}">
                  <a16:creationId xmlns:a16="http://schemas.microsoft.com/office/drawing/2014/main" id="{D5640AE4-245B-D9D6-A5F1-0DC14A3BDD56}"/>
                </a:ext>
              </a:extLst>
            </xdr:cNvPr>
            <xdr:cNvSpPr txBox="1"/>
          </xdr:nvSpPr>
          <xdr:spPr>
            <a:xfrm>
              <a:off x="3829049" y="8602756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8" name="ZoneTexte 57">
              <a:extLst>
                <a:ext uri="{FF2B5EF4-FFF2-40B4-BE49-F238E27FC236}">
                  <a16:creationId xmlns:a16="http://schemas.microsoft.com/office/drawing/2014/main" id="{D5640AE4-245B-D9D6-A5F1-0DC14A3BDD56}"/>
                </a:ext>
              </a:extLst>
            </xdr:cNvPr>
            <xdr:cNvSpPr txBox="1"/>
          </xdr:nvSpPr>
          <xdr:spPr>
            <a:xfrm>
              <a:off x="3829049" y="8602756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504264</xdr:colOff>
      <xdr:row>12</xdr:row>
      <xdr:rowOff>5603</xdr:rowOff>
    </xdr:from>
    <xdr:ext cx="1098177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ZoneTexte 59">
              <a:extLst>
                <a:ext uri="{FF2B5EF4-FFF2-40B4-BE49-F238E27FC236}">
                  <a16:creationId xmlns:a16="http://schemas.microsoft.com/office/drawing/2014/main" id="{4263BBC8-E50D-4A38-8B6F-39AD97F2B3C6}"/>
                </a:ext>
              </a:extLst>
            </xdr:cNvPr>
            <xdr:cNvSpPr txBox="1"/>
          </xdr:nvSpPr>
          <xdr:spPr>
            <a:xfrm>
              <a:off x="8443632" y="2336427"/>
              <a:ext cx="1098177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𝑺</m:t>
                  </m:r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200" b="1"/>
                <a:t>'m*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𝟏</m:t>
                          </m:r>
                        </m:den>
                      </m:f>
                    </m:e>
                  </m:rad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60" name="ZoneTexte 59">
              <a:extLst>
                <a:ext uri="{FF2B5EF4-FFF2-40B4-BE49-F238E27FC236}">
                  <a16:creationId xmlns:a16="http://schemas.microsoft.com/office/drawing/2014/main" id="{4263BBC8-E50D-4A38-8B6F-39AD97F2B3C6}"/>
                </a:ext>
              </a:extLst>
            </xdr:cNvPr>
            <xdr:cNvSpPr txBox="1"/>
          </xdr:nvSpPr>
          <xdr:spPr>
            <a:xfrm>
              <a:off x="8443632" y="2336427"/>
              <a:ext cx="1098177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𝑺=𝝈</a:t>
              </a:r>
              <a:r>
                <a:rPr lang="fr-FR" sz="1200" b="1"/>
                <a:t>'m*</a:t>
              </a:r>
              <a:r>
                <a:rPr lang="fr-FR" sz="1200" b="1" i="0">
                  <a:latin typeface="Cambria Math" panose="02040503050406030204" pitchFamily="18" charset="0"/>
                </a:rPr>
                <a:t>√(𝒏/(𝒏−𝟏))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375397</xdr:colOff>
      <xdr:row>11</xdr:row>
      <xdr:rowOff>7844</xdr:rowOff>
    </xdr:from>
    <xdr:ext cx="1283073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DF2BD78D-B797-46D5-A10E-D03C15AACDCF}"/>
                </a:ext>
              </a:extLst>
            </xdr:cNvPr>
            <xdr:cNvSpPr txBox="1"/>
          </xdr:nvSpPr>
          <xdr:spPr>
            <a:xfrm>
              <a:off x="3720353" y="2148168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𝒎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𝑺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𝒎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f>
                    <m:fPr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DF2BD78D-B797-46D5-A10E-D03C15AACDCF}"/>
                </a:ext>
              </a:extLst>
            </xdr:cNvPr>
            <xdr:cNvSpPr txBox="1"/>
          </xdr:nvSpPr>
          <xdr:spPr>
            <a:xfrm>
              <a:off x="3720353" y="2148168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[𝒎−𝒕 𝑺/√𝒏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𝒎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𝑺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/√𝒏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30255</xdr:colOff>
      <xdr:row>15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ZoneTexte 62">
              <a:extLst>
                <a:ext uri="{FF2B5EF4-FFF2-40B4-BE49-F238E27FC236}">
                  <a16:creationId xmlns:a16="http://schemas.microsoft.com/office/drawing/2014/main" id="{1868FA3C-92AC-42BD-A681-A9DC4C529830}"/>
                </a:ext>
              </a:extLst>
            </xdr:cNvPr>
            <xdr:cNvSpPr txBox="1"/>
          </xdr:nvSpPr>
          <xdr:spPr>
            <a:xfrm>
              <a:off x="3756211" y="2915771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63" name="ZoneTexte 62">
              <a:extLst>
                <a:ext uri="{FF2B5EF4-FFF2-40B4-BE49-F238E27FC236}">
                  <a16:creationId xmlns:a16="http://schemas.microsoft.com/office/drawing/2014/main" id="{1868FA3C-92AC-42BD-A681-A9DC4C529830}"/>
                </a:ext>
              </a:extLst>
            </xdr:cNvPr>
            <xdr:cNvSpPr txBox="1"/>
          </xdr:nvSpPr>
          <xdr:spPr>
            <a:xfrm>
              <a:off x="3756211" y="2915771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15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ZoneTexte 63">
              <a:extLst>
                <a:ext uri="{FF2B5EF4-FFF2-40B4-BE49-F238E27FC236}">
                  <a16:creationId xmlns:a16="http://schemas.microsoft.com/office/drawing/2014/main" id="{BCFBADE4-BE35-4249-B83E-D7F3264FB90B}"/>
                </a:ext>
              </a:extLst>
            </xdr:cNvPr>
            <xdr:cNvSpPr txBox="1"/>
          </xdr:nvSpPr>
          <xdr:spPr>
            <a:xfrm>
              <a:off x="3725956" y="3092824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64" name="ZoneTexte 63">
              <a:extLst>
                <a:ext uri="{FF2B5EF4-FFF2-40B4-BE49-F238E27FC236}">
                  <a16:creationId xmlns:a16="http://schemas.microsoft.com/office/drawing/2014/main" id="{BCFBADE4-BE35-4249-B83E-D7F3264FB90B}"/>
                </a:ext>
              </a:extLst>
            </xdr:cNvPr>
            <xdr:cNvSpPr txBox="1"/>
          </xdr:nvSpPr>
          <xdr:spPr>
            <a:xfrm>
              <a:off x="3725956" y="3092824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44824</xdr:colOff>
      <xdr:row>17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ZoneTexte 64">
              <a:extLst>
                <a:ext uri="{FF2B5EF4-FFF2-40B4-BE49-F238E27FC236}">
                  <a16:creationId xmlns:a16="http://schemas.microsoft.com/office/drawing/2014/main" id="{3718EA5C-7005-421B-8686-FF1FDA3FED6D}"/>
                </a:ext>
              </a:extLst>
            </xdr:cNvPr>
            <xdr:cNvSpPr txBox="1"/>
          </xdr:nvSpPr>
          <xdr:spPr>
            <a:xfrm>
              <a:off x="3770780" y="3300132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65" name="ZoneTexte 64">
              <a:extLst>
                <a:ext uri="{FF2B5EF4-FFF2-40B4-BE49-F238E27FC236}">
                  <a16:creationId xmlns:a16="http://schemas.microsoft.com/office/drawing/2014/main" id="{3718EA5C-7005-421B-8686-FF1FDA3FED6D}"/>
                </a:ext>
              </a:extLst>
            </xdr:cNvPr>
            <xdr:cNvSpPr txBox="1"/>
          </xdr:nvSpPr>
          <xdr:spPr>
            <a:xfrm>
              <a:off x="3770780" y="3300132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19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ZoneTexte 65">
              <a:extLst>
                <a:ext uri="{FF2B5EF4-FFF2-40B4-BE49-F238E27FC236}">
                  <a16:creationId xmlns:a16="http://schemas.microsoft.com/office/drawing/2014/main" id="{70BD808C-1DAE-471B-AF11-C5466458EE3A}"/>
                </a:ext>
              </a:extLst>
            </xdr:cNvPr>
            <xdr:cNvSpPr txBox="1"/>
          </xdr:nvSpPr>
          <xdr:spPr>
            <a:xfrm>
              <a:off x="3725956" y="3697941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66" name="ZoneTexte 65">
              <a:extLst>
                <a:ext uri="{FF2B5EF4-FFF2-40B4-BE49-F238E27FC236}">
                  <a16:creationId xmlns:a16="http://schemas.microsoft.com/office/drawing/2014/main" id="{70BD808C-1DAE-471B-AF11-C5466458EE3A}"/>
                </a:ext>
              </a:extLst>
            </xdr:cNvPr>
            <xdr:cNvSpPr txBox="1"/>
          </xdr:nvSpPr>
          <xdr:spPr>
            <a:xfrm>
              <a:off x="3725956" y="3697941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6</xdr:row>
      <xdr:rowOff>161925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0E41044D-482E-47A5-99AB-D4ED58FC746F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0E41044D-482E-47A5-99AB-D4ED58FC746F}"/>
                </a:ext>
              </a:extLst>
            </xdr:cNvPr>
            <xdr:cNvSpPr txBox="1"/>
          </xdr:nvSpPr>
          <xdr:spPr>
            <a:xfrm>
              <a:off x="285750" y="1323975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oneCellAnchor>
    <xdr:from>
      <xdr:col>11</xdr:col>
      <xdr:colOff>228600</xdr:colOff>
      <xdr:row>6</xdr:row>
      <xdr:rowOff>171450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32B299A0-B63C-4E2A-8AD0-E10055D27E20}"/>
                </a:ext>
              </a:extLst>
            </xdr:cNvPr>
            <xdr:cNvSpPr txBox="1"/>
          </xdr:nvSpPr>
          <xdr:spPr>
            <a:xfrm>
              <a:off x="74009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32B299A0-B63C-4E2A-8AD0-E10055D27E20}"/>
                </a:ext>
              </a:extLst>
            </xdr:cNvPr>
            <xdr:cNvSpPr txBox="1"/>
          </xdr:nvSpPr>
          <xdr:spPr>
            <a:xfrm>
              <a:off x="7400925" y="133350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twoCellAnchor>
    <xdr:from>
      <xdr:col>4</xdr:col>
      <xdr:colOff>9525</xdr:colOff>
      <xdr:row>1</xdr:row>
      <xdr:rowOff>61913</xdr:rowOff>
    </xdr:from>
    <xdr:to>
      <xdr:col>5</xdr:col>
      <xdr:colOff>376238</xdr:colOff>
      <xdr:row>2</xdr:row>
      <xdr:rowOff>157163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4F518D46-7F36-43B6-9C33-C555E70F96C9}"/>
            </a:ext>
          </a:extLst>
        </xdr:cNvPr>
        <xdr:cNvSpPr/>
      </xdr:nvSpPr>
      <xdr:spPr>
        <a:xfrm>
          <a:off x="2971800" y="261938"/>
          <a:ext cx="747713" cy="295275"/>
        </a:xfrm>
        <a:prstGeom prst="righ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6</xdr:col>
      <xdr:colOff>74734</xdr:colOff>
      <xdr:row>6</xdr:row>
      <xdr:rowOff>178777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78B65DF1-3952-4B67-9236-2EEE73CDF2A1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78B65DF1-3952-4B67-9236-2EEE73CDF2A1}"/>
                </a:ext>
              </a:extLst>
            </xdr:cNvPr>
            <xdr:cNvSpPr txBox="1"/>
          </xdr:nvSpPr>
          <xdr:spPr>
            <a:xfrm>
              <a:off x="3799009" y="1340827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16</xdr:col>
      <xdr:colOff>349250</xdr:colOff>
      <xdr:row>6</xdr:row>
      <xdr:rowOff>177800</xdr:rowOff>
    </xdr:from>
    <xdr:ext cx="390525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23B4994-C5AF-44D4-B10E-B29229450CBC}"/>
                </a:ext>
              </a:extLst>
            </xdr:cNvPr>
            <xdr:cNvSpPr txBox="1"/>
          </xdr:nvSpPr>
          <xdr:spPr>
            <a:xfrm>
              <a:off x="11283950" y="133985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400" b="1"/>
                <a:t>'</a:t>
              </a:r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23B4994-C5AF-44D4-B10E-B29229450CBC}"/>
                </a:ext>
              </a:extLst>
            </xdr:cNvPr>
            <xdr:cNvSpPr txBox="1"/>
          </xdr:nvSpPr>
          <xdr:spPr>
            <a:xfrm>
              <a:off x="11283950" y="1339850"/>
              <a:ext cx="39052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fr-FR" sz="1400" b="1"/>
                <a:t>'</a:t>
              </a:r>
            </a:p>
          </xdr:txBody>
        </xdr:sp>
      </mc:Fallback>
    </mc:AlternateContent>
    <xdr:clientData/>
  </xdr:oneCellAnchor>
  <xdr:twoCellAnchor>
    <xdr:from>
      <xdr:col>14</xdr:col>
      <xdr:colOff>757238</xdr:colOff>
      <xdr:row>1</xdr:row>
      <xdr:rowOff>0</xdr:rowOff>
    </xdr:from>
    <xdr:to>
      <xdr:col>15</xdr:col>
      <xdr:colOff>761999</xdr:colOff>
      <xdr:row>2</xdr:row>
      <xdr:rowOff>66675</xdr:rowOff>
    </xdr:to>
    <xdr:sp macro="" textlink="">
      <xdr:nvSpPr>
        <xdr:cNvPr id="7" name="Flèche : gauche 6">
          <a:extLst>
            <a:ext uri="{FF2B5EF4-FFF2-40B4-BE49-F238E27FC236}">
              <a16:creationId xmlns:a16="http://schemas.microsoft.com/office/drawing/2014/main" id="{6323F745-79F8-46BD-ADD3-AC9B471DDA09}"/>
            </a:ext>
          </a:extLst>
        </xdr:cNvPr>
        <xdr:cNvSpPr/>
      </xdr:nvSpPr>
      <xdr:spPr>
        <a:xfrm>
          <a:off x="10215563" y="200025"/>
          <a:ext cx="719136" cy="266700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5</xdr:col>
      <xdr:colOff>375397</xdr:colOff>
      <xdr:row>11</xdr:row>
      <xdr:rowOff>7844</xdr:rowOff>
    </xdr:from>
    <xdr:ext cx="1851072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848824D4-B2C6-4049-A5D3-76D14283051E}"/>
                </a:ext>
              </a:extLst>
            </xdr:cNvPr>
            <xdr:cNvSpPr txBox="1"/>
          </xdr:nvSpPr>
          <xdr:spPr>
            <a:xfrm>
              <a:off x="3721053" y="2150969"/>
              <a:ext cx="1851072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</m:oMath>
              </a14:m>
              <a:r>
                <a:rPr lang="fr-FR" sz="1200" b="1"/>
                <a:t>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𝒑𝒒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den>
                      </m:f>
                    </m:e>
                  </m:rad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r>
                    <m:rPr>
                      <m:nor/>
                    </m:rPr>
                    <a:rPr lang="fr-FR" sz="1100" b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∗</m:t>
                  </m:r>
                  <m:rad>
                    <m:radPr>
                      <m:degHide m:val="on"/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𝒑𝒒</m:t>
                          </m:r>
                        </m:num>
                        <m:den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den>
                      </m:f>
                    </m:e>
                  </m:rad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848824D4-B2C6-4049-A5D3-76D14283051E}"/>
                </a:ext>
              </a:extLst>
            </xdr:cNvPr>
            <xdr:cNvSpPr txBox="1"/>
          </xdr:nvSpPr>
          <xdr:spPr>
            <a:xfrm>
              <a:off x="3721053" y="2150969"/>
              <a:ext cx="1851072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[𝑷−𝒕</a:t>
              </a:r>
              <a:r>
                <a:rPr lang="fr-FR" sz="1200" b="1"/>
                <a:t>*</a:t>
              </a:r>
              <a:r>
                <a:rPr lang="fr-FR" sz="1200" b="1" i="0">
                  <a:latin typeface="Cambria Math" panose="02040503050406030204" pitchFamily="18" charset="0"/>
                </a:rPr>
                <a:t>√(𝒑𝒒/𝒏)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"*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√(𝒑𝒒/𝒏)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30255</xdr:colOff>
      <xdr:row>15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B1505927-6740-4141-9115-C103AD405E21}"/>
                </a:ext>
              </a:extLst>
            </xdr:cNvPr>
            <xdr:cNvSpPr txBox="1"/>
          </xdr:nvSpPr>
          <xdr:spPr>
            <a:xfrm>
              <a:off x="3754530" y="2909047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B1505927-6740-4141-9115-C103AD405E21}"/>
                </a:ext>
              </a:extLst>
            </xdr:cNvPr>
            <xdr:cNvSpPr txBox="1"/>
          </xdr:nvSpPr>
          <xdr:spPr>
            <a:xfrm>
              <a:off x="3754530" y="2909047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287990</xdr:colOff>
      <xdr:row>12</xdr:row>
      <xdr:rowOff>41462</xdr:rowOff>
    </xdr:from>
    <xdr:ext cx="209352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A0C36C2C-EC41-4B6A-B4DC-20C4C51CE69B}"/>
                </a:ext>
              </a:extLst>
            </xdr:cNvPr>
            <xdr:cNvSpPr txBox="1"/>
          </xdr:nvSpPr>
          <xdr:spPr>
            <a:xfrm>
              <a:off x="5555315" y="2365562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1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fr-FR" sz="11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A0C36C2C-EC41-4B6A-B4DC-20C4C51CE69B}"/>
                </a:ext>
              </a:extLst>
            </xdr:cNvPr>
            <xdr:cNvSpPr txBox="1"/>
          </xdr:nvSpPr>
          <xdr:spPr>
            <a:xfrm>
              <a:off x="5555315" y="2365562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𝝈/√</a:t>
              </a:r>
              <a:r>
                <a:rPr lang="fr-FR" sz="1100" b="1" i="0">
                  <a:latin typeface="Cambria Math" panose="02040503050406030204" pitchFamily="18" charset="0"/>
                </a:rPr>
                <a:t>𝒏</a:t>
              </a:r>
              <a:endParaRPr lang="fr-FR" sz="1100" b="1"/>
            </a:p>
          </xdr:txBody>
        </xdr:sp>
      </mc:Fallback>
    </mc:AlternateContent>
    <xdr:clientData/>
  </xdr:oneCellAnchor>
  <xdr:oneCellAnchor>
    <xdr:from>
      <xdr:col>6</xdr:col>
      <xdr:colOff>0</xdr:colOff>
      <xdr:row>15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EFD6B3EA-BF17-4E3C-BFE8-6C8A3D676014}"/>
                </a:ext>
              </a:extLst>
            </xdr:cNvPr>
            <xdr:cNvSpPr txBox="1"/>
          </xdr:nvSpPr>
          <xdr:spPr>
            <a:xfrm>
              <a:off x="3724275" y="3086100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EFD6B3EA-BF17-4E3C-BFE8-6C8A3D676014}"/>
                </a:ext>
              </a:extLst>
            </xdr:cNvPr>
            <xdr:cNvSpPr txBox="1"/>
          </xdr:nvSpPr>
          <xdr:spPr>
            <a:xfrm>
              <a:off x="3724275" y="3086100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44824</xdr:colOff>
      <xdr:row>17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51D71B1D-A182-4B43-A33F-E165A231A572}"/>
                </a:ext>
              </a:extLst>
            </xdr:cNvPr>
            <xdr:cNvSpPr txBox="1"/>
          </xdr:nvSpPr>
          <xdr:spPr>
            <a:xfrm>
              <a:off x="3769099" y="329172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51D71B1D-A182-4B43-A33F-E165A231A572}"/>
                </a:ext>
              </a:extLst>
            </xdr:cNvPr>
            <xdr:cNvSpPr txBox="1"/>
          </xdr:nvSpPr>
          <xdr:spPr>
            <a:xfrm>
              <a:off x="3769099" y="329172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19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9A762D5-347B-41A1-982D-D1918EE509F9}"/>
                </a:ext>
              </a:extLst>
            </xdr:cNvPr>
            <xdr:cNvSpPr txBox="1"/>
          </xdr:nvSpPr>
          <xdr:spPr>
            <a:xfrm>
              <a:off x="3724275" y="36861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9A762D5-347B-41A1-982D-D1918EE509F9}"/>
                </a:ext>
              </a:extLst>
            </xdr:cNvPr>
            <xdr:cNvSpPr txBox="1"/>
          </xdr:nvSpPr>
          <xdr:spPr>
            <a:xfrm>
              <a:off x="3724275" y="36861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30255</xdr:colOff>
      <xdr:row>28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F1471558-ADFB-46FC-9B49-35B269AE83A0}"/>
                </a:ext>
              </a:extLst>
            </xdr:cNvPr>
            <xdr:cNvSpPr txBox="1"/>
          </xdr:nvSpPr>
          <xdr:spPr>
            <a:xfrm>
              <a:off x="3754530" y="5452222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F1471558-ADFB-46FC-9B49-35B269AE83A0}"/>
                </a:ext>
              </a:extLst>
            </xdr:cNvPr>
            <xdr:cNvSpPr txBox="1"/>
          </xdr:nvSpPr>
          <xdr:spPr>
            <a:xfrm>
              <a:off x="3754530" y="5452222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8</xdr:col>
      <xdr:colOff>287990</xdr:colOff>
      <xdr:row>25</xdr:row>
      <xdr:rowOff>41462</xdr:rowOff>
    </xdr:from>
    <xdr:ext cx="209352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BED6F1BD-66ED-407A-8F55-4CFAEF6C41C6}"/>
                </a:ext>
              </a:extLst>
            </xdr:cNvPr>
            <xdr:cNvSpPr txBox="1"/>
          </xdr:nvSpPr>
          <xdr:spPr>
            <a:xfrm>
              <a:off x="5555315" y="4908737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1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fr-FR" sz="1100" b="1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BED6F1BD-66ED-407A-8F55-4CFAEF6C41C6}"/>
                </a:ext>
              </a:extLst>
            </xdr:cNvPr>
            <xdr:cNvSpPr txBox="1"/>
          </xdr:nvSpPr>
          <xdr:spPr>
            <a:xfrm>
              <a:off x="5555315" y="4908737"/>
              <a:ext cx="209352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𝝈/√</a:t>
              </a:r>
              <a:r>
                <a:rPr lang="fr-FR" sz="1100" b="1" i="0">
                  <a:latin typeface="Cambria Math" panose="02040503050406030204" pitchFamily="18" charset="0"/>
                </a:rPr>
                <a:t>𝒏</a:t>
              </a:r>
              <a:endParaRPr lang="fr-FR" sz="1100" b="1"/>
            </a:p>
          </xdr:txBody>
        </xdr:sp>
      </mc:Fallback>
    </mc:AlternateContent>
    <xdr:clientData/>
  </xdr:oneCellAnchor>
  <xdr:oneCellAnchor>
    <xdr:from>
      <xdr:col>6</xdr:col>
      <xdr:colOff>0</xdr:colOff>
      <xdr:row>28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CD969718-FD55-466C-9A2D-7AC47F5460F8}"/>
                </a:ext>
              </a:extLst>
            </xdr:cNvPr>
            <xdr:cNvSpPr txBox="1"/>
          </xdr:nvSpPr>
          <xdr:spPr>
            <a:xfrm>
              <a:off x="3724275" y="562927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CD969718-FD55-466C-9A2D-7AC47F5460F8}"/>
                </a:ext>
              </a:extLst>
            </xdr:cNvPr>
            <xdr:cNvSpPr txBox="1"/>
          </xdr:nvSpPr>
          <xdr:spPr>
            <a:xfrm>
              <a:off x="3724275" y="5629275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44824</xdr:colOff>
      <xdr:row>30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A387EA5F-8F5C-4A6F-A141-1FC6DF50AD4B}"/>
                </a:ext>
              </a:extLst>
            </xdr:cNvPr>
            <xdr:cNvSpPr txBox="1"/>
          </xdr:nvSpPr>
          <xdr:spPr>
            <a:xfrm>
              <a:off x="3769099" y="582537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A387EA5F-8F5C-4A6F-A141-1FC6DF50AD4B}"/>
                </a:ext>
              </a:extLst>
            </xdr:cNvPr>
            <xdr:cNvSpPr txBox="1"/>
          </xdr:nvSpPr>
          <xdr:spPr>
            <a:xfrm>
              <a:off x="3769099" y="582537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32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C44C9E1-C7C7-4A3B-BDD1-7DA8C7D73F4E}"/>
                </a:ext>
              </a:extLst>
            </xdr:cNvPr>
            <xdr:cNvSpPr txBox="1"/>
          </xdr:nvSpPr>
          <xdr:spPr>
            <a:xfrm>
              <a:off x="3724275" y="62007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C44C9E1-C7C7-4A3B-BDD1-7DA8C7D73F4E}"/>
                </a:ext>
              </a:extLst>
            </xdr:cNvPr>
            <xdr:cNvSpPr txBox="1"/>
          </xdr:nvSpPr>
          <xdr:spPr>
            <a:xfrm>
              <a:off x="3724275" y="62007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5603</xdr:colOff>
      <xdr:row>35</xdr:row>
      <xdr:rowOff>7844</xdr:rowOff>
    </xdr:from>
    <xdr:ext cx="132789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CF526A2-B899-40D1-B00A-D4D22F2219B6}"/>
                </a:ext>
              </a:extLst>
            </xdr:cNvPr>
            <xdr:cNvSpPr txBox="1"/>
          </xdr:nvSpPr>
          <xdr:spPr>
            <a:xfrm flipH="1">
              <a:off x="3729878" y="6799169"/>
              <a:ext cx="132789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P(p'-</a:t>
              </a: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𝜺</m:t>
                  </m:r>
                </m:oMath>
              </a14:m>
              <a:r>
                <a:rPr lang="fr-FR" sz="1200" b="1"/>
                <a:t>)&lt;</a:t>
              </a: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𝑭</m:t>
                  </m:r>
                </m:oMath>
              </a14:m>
              <a:r>
                <a:rPr lang="fr-FR" sz="1200" b="1"/>
                <a:t>&lt;p'+</a:t>
              </a: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𝜺</m:t>
                  </m:r>
                </m:oMath>
              </a14:m>
              <a:r>
                <a:rPr lang="fr-FR" sz="1200" b="1"/>
                <a:t>)=Sc</a:t>
              </a:r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CF526A2-B899-40D1-B00A-D4D22F2219B6}"/>
                </a:ext>
              </a:extLst>
            </xdr:cNvPr>
            <xdr:cNvSpPr txBox="1"/>
          </xdr:nvSpPr>
          <xdr:spPr>
            <a:xfrm flipH="1">
              <a:off x="3729878" y="6799169"/>
              <a:ext cx="132789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/>
                <a:t>P(p'-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</a:t>
              </a:r>
              <a:r>
                <a:rPr lang="fr-FR" sz="1200" b="1"/>
                <a:t>)&lt;</a:t>
              </a:r>
              <a:r>
                <a:rPr lang="fr-FR" sz="1200" b="1" i="0">
                  <a:latin typeface="Cambria Math" panose="02040503050406030204" pitchFamily="18" charset="0"/>
                </a:rPr>
                <a:t>𝑭</a:t>
              </a:r>
              <a:r>
                <a:rPr lang="fr-FR" sz="1200" b="1"/>
                <a:t>&lt;p'+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</a:t>
              </a:r>
              <a:r>
                <a:rPr lang="fr-FR" sz="1200" b="1"/>
                <a:t>)=Sc</a:t>
              </a:r>
            </a:p>
          </xdr:txBody>
        </xdr:sp>
      </mc:Fallback>
    </mc:AlternateContent>
    <xdr:clientData/>
  </xdr:oneCellAnchor>
  <xdr:oneCellAnchor>
    <xdr:from>
      <xdr:col>8</xdr:col>
      <xdr:colOff>293592</xdr:colOff>
      <xdr:row>35</xdr:row>
      <xdr:rowOff>2242</xdr:rowOff>
    </xdr:from>
    <xdr:ext cx="29471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30146285-7AB9-451E-83F2-58648FEFED9B}"/>
                </a:ext>
              </a:extLst>
            </xdr:cNvPr>
            <xdr:cNvSpPr txBox="1"/>
          </xdr:nvSpPr>
          <xdr:spPr>
            <a:xfrm>
              <a:off x="5560917" y="6793567"/>
              <a:ext cx="29471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𝝐</m:t>
                  </m:r>
                </m:oMath>
              </a14:m>
              <a:r>
                <a:rPr lang="fr-FR" sz="1200" b="1"/>
                <a:t> = </a:t>
              </a:r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30146285-7AB9-451E-83F2-58648FEFED9B}"/>
                </a:ext>
              </a:extLst>
            </xdr:cNvPr>
            <xdr:cNvSpPr txBox="1"/>
          </xdr:nvSpPr>
          <xdr:spPr>
            <a:xfrm>
              <a:off x="5560917" y="6793567"/>
              <a:ext cx="29471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𝝐</a:t>
              </a:r>
              <a:r>
                <a:rPr lang="fr-FR" sz="1200" b="1"/>
                <a:t> = </a:t>
              </a:r>
            </a:p>
          </xdr:txBody>
        </xdr:sp>
      </mc:Fallback>
    </mc:AlternateContent>
    <xdr:clientData/>
  </xdr:oneCellAnchor>
  <xdr:oneCellAnchor>
    <xdr:from>
      <xdr:col>5</xdr:col>
      <xdr:colOff>377638</xdr:colOff>
      <xdr:row>36</xdr:row>
      <xdr:rowOff>13446</xdr:rowOff>
    </xdr:from>
    <xdr:ext cx="2052806" cy="353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020DCDBC-E4F3-4108-ADF3-F33350F84DC4}"/>
                </a:ext>
              </a:extLst>
            </xdr:cNvPr>
            <xdr:cNvSpPr txBox="1"/>
          </xdr:nvSpPr>
          <xdr:spPr>
            <a:xfrm>
              <a:off x="3723294" y="7026227"/>
              <a:ext cx="2052806" cy="353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𝒑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</m:num>
                    <m:den>
                      <m:f>
                        <m:fPr>
                          <m:type m:val="li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ad>
                            <m:radPr>
                              <m:degHide m:val="on"/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radPr>
                            <m:deg/>
                            <m:e>
                              <m:sSup>
                                <m:sSupPr>
                                  <m:ctrlPr>
                                    <a:rPr lang="fr-FR" sz="1200" b="1" i="1">
                                      <a:latin typeface="Cambria Math" panose="02040503050406030204" pitchFamily="18" charset="0"/>
                                    </a:rPr>
                                  </m:ctrlPr>
                                </m:sSupPr>
                                <m:e>
                                  <m:r>
                                    <a:rPr lang="fr-FR" sz="1200" b="1" i="1">
                                      <a:latin typeface="Cambria Math" panose="02040503050406030204" pitchFamily="18" charset="0"/>
                                    </a:rPr>
                                    <m:t>𝒑</m:t>
                                  </m:r>
                                </m:e>
                                <m:sup>
                                  <m:r>
                                    <a:rPr lang="fr-FR" sz="1200" b="1" i="1">
                                      <a:latin typeface="Cambria Math" panose="02040503050406030204" pitchFamily="18" charset="0"/>
                                    </a:rPr>
                                    <m:t>′</m:t>
                                  </m:r>
                                </m:sup>
                              </m:sSup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𝒒</m:t>
                              </m:r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e>
                          </m:rad>
                        </m:num>
                        <m:den>
                          <m:rad>
                            <m:radPr>
                              <m:degHide m:val="on"/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radPr>
                            <m:deg/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𝒏</m:t>
                              </m:r>
                            </m:e>
                          </m:rad>
                        </m:den>
                      </m:f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𝑭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f>
                        <m:fPr>
                          <m:type m:val="lin"/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ad>
                            <m:radPr>
                              <m:degHide m:val="on"/>
                              <m:ctrlP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sSup>
                                <m:sSupPr>
                                  <m:ctrlPr>
                                    <a:rPr lang="fr-FR" sz="1100" b="1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fr-FR" sz="1100" b="1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𝒑</m:t>
                                  </m:r>
                                </m:e>
                                <m:sup>
                                  <m:r>
                                    <a:rPr lang="fr-FR" sz="1100" b="1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′</m:t>
                                  </m:r>
                                </m:sup>
                              </m:sSup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𝒒</m:t>
                              </m:r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e>
                          </m:rad>
                        </m:num>
                        <m:den>
                          <m:rad>
                            <m:radPr>
                              <m:degHide m:val="on"/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𝒏</m:t>
                              </m:r>
                            </m:e>
                          </m:rad>
                        </m:den>
                      </m:f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fr-FR" sz="1200" b="1"/>
                <a:t>=Sc</a:t>
              </a:r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020DCDBC-E4F3-4108-ADF3-F33350F84DC4}"/>
                </a:ext>
              </a:extLst>
            </xdr:cNvPr>
            <xdr:cNvSpPr txBox="1"/>
          </xdr:nvSpPr>
          <xdr:spPr>
            <a:xfrm>
              <a:off x="3723294" y="7026227"/>
              <a:ext cx="2052806" cy="353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𝑷(((𝒑^′−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𝜺)</a:t>
              </a:r>
              <a:r>
                <a:rPr lang="fr-FR" sz="1200" b="1" i="0">
                  <a:latin typeface="Cambria Math" panose="02040503050406030204" pitchFamily="18" charset="0"/>
                </a:rPr>
                <a:t>−𝒑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fr-FR" sz="1200" b="1" i="0">
                  <a:latin typeface="Cambria Math" panose="02040503050406030204" pitchFamily="18" charset="0"/>
                </a:rPr>
                <a:t>′)/(√(𝒑^′ 𝒒′)∕√𝒏)&lt;𝑭&lt;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𝜺)−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′)/(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√(𝒑^′ 𝒒′)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∕√𝒏)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r>
                <a:rPr lang="fr-FR" sz="1200" b="1"/>
                <a:t>=Sc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38</xdr:row>
      <xdr:rowOff>11204</xdr:rowOff>
    </xdr:from>
    <xdr:ext cx="2654253" cy="3697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E35A4D4C-8D39-4D4A-B6D2-3CD05C1F6BBE}"/>
                </a:ext>
              </a:extLst>
            </xdr:cNvPr>
            <xdr:cNvSpPr txBox="1"/>
          </xdr:nvSpPr>
          <xdr:spPr>
            <a:xfrm>
              <a:off x="3726656" y="7404985"/>
              <a:ext cx="2654253" cy="369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200" b="1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fr-FR" sz="12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𝒑</m:t>
                          </m:r>
                        </m:e>
                        <m:sup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sSup>
                            <m:sSupPr>
                              <m:ctrlP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𝒒</m:t>
                          </m:r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e>
                      </m:rad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∗</m:t>
                  </m:r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𝒏</m:t>
                      </m:r>
                    </m:e>
                  </m:rad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𝑭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&lt;</m:t>
                  </m:r>
                  <m:f>
                    <m:fPr>
                      <m:ctrlP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d>
                        <m:dPr>
                          <m:ctrlP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2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fr-FR" sz="12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𝜺</m:t>
                          </m:r>
                        </m:e>
                      </m:d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𝒑</m:t>
                      </m:r>
                      <m:r>
                        <a:rPr lang="fr-FR" sz="12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′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sSup>
                            <m:sSupPr>
                              <m:ctrlP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𝒑</m:t>
                              </m:r>
                            </m:e>
                            <m:sup>
                              <m:r>
                                <a:rPr lang="fr-FR" sz="1100" b="1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𝒒</m:t>
                          </m:r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e>
                      </m:rad>
                    </m:den>
                  </m:f>
                  <m:r>
                    <a:rPr lang="fr-FR" sz="12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fr-FR" sz="1200" b="1"/>
                <a:t>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</m:e>
                  </m:rad>
                </m:oMath>
              </a14:m>
              <a:r>
                <a:rPr lang="fr-FR" sz="1200" b="1"/>
                <a:t>=Sc</a:t>
              </a:r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E35A4D4C-8D39-4D4A-B6D2-3CD05C1F6BBE}"/>
                </a:ext>
              </a:extLst>
            </xdr:cNvPr>
            <xdr:cNvSpPr txBox="1"/>
          </xdr:nvSpPr>
          <xdr:spPr>
            <a:xfrm>
              <a:off x="3726656" y="7404985"/>
              <a:ext cx="2654253" cy="369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𝑷(((𝒑^′−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𝜺)</a:t>
              </a:r>
              <a:r>
                <a:rPr lang="fr-FR" sz="1200" b="1" i="0">
                  <a:latin typeface="Cambria Math" panose="02040503050406030204" pitchFamily="18" charset="0"/>
                </a:rPr>
                <a:t>−𝒑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fr-FR" sz="1200" b="1" i="0">
                  <a:latin typeface="Cambria Math" panose="02040503050406030204" pitchFamily="18" charset="0"/>
                </a:rPr>
                <a:t>′)/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√(𝒑^′ 𝒒′)</a:t>
              </a:r>
              <a:r>
                <a:rPr lang="fr-FR" sz="1200" b="1" i="0">
                  <a:latin typeface="Cambria Math" panose="02040503050406030204" pitchFamily="18" charset="0"/>
                </a:rPr>
                <a:t>∗√𝒏&lt;𝑭&lt;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^′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𝜺)−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𝒑</a:t>
              </a:r>
              <a:r>
                <a:rPr lang="fr-FR" sz="12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′)/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√(𝒑^′ 𝒒′)</a:t>
              </a:r>
              <a:r>
                <a:rPr lang="fr-FR" sz="1200" b="1" i="0">
                  <a:latin typeface="Cambria Math" panose="02040503050406030204" pitchFamily="18" charset="0"/>
                </a:rPr>
                <a:t>)</a:t>
              </a:r>
              <a:r>
                <a:rPr lang="fr-FR" sz="1200" b="1"/>
                <a:t>*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√𝒏</a:t>
              </a:r>
              <a:r>
                <a:rPr lang="fr-FR" sz="1200" b="1"/>
                <a:t>=Sc</a:t>
              </a:r>
            </a:p>
          </xdr:txBody>
        </xdr:sp>
      </mc:Fallback>
    </mc:AlternateContent>
    <xdr:clientData/>
  </xdr:oneCellAnchor>
  <xdr:oneCellAnchor>
    <xdr:from>
      <xdr:col>7</xdr:col>
      <xdr:colOff>697005</xdr:colOff>
      <xdr:row>40</xdr:row>
      <xdr:rowOff>7845</xdr:rowOff>
    </xdr:from>
    <xdr:ext cx="257186" cy="172227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F1482AD-779F-441E-BA1D-37C54104B042}"/>
            </a:ext>
          </a:extLst>
        </xdr:cNvPr>
        <xdr:cNvSpPr txBox="1"/>
      </xdr:nvSpPr>
      <xdr:spPr>
        <a:xfrm>
          <a:off x="5135655" y="7751670"/>
          <a:ext cx="25718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fr-FR" sz="1100"/>
            <a:t>&lt; T &lt;</a:t>
          </a:r>
        </a:p>
      </xdr:txBody>
    </xdr:sp>
    <xdr:clientData/>
  </xdr:oneCellAnchor>
  <xdr:oneCellAnchor>
    <xdr:from>
      <xdr:col>7</xdr:col>
      <xdr:colOff>30256</xdr:colOff>
      <xdr:row>41</xdr:row>
      <xdr:rowOff>2241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9A437D44-D864-498F-AFD1-BE697D82DDF2}"/>
                </a:ext>
              </a:extLst>
            </xdr:cNvPr>
            <xdr:cNvSpPr txBox="1"/>
          </xdr:nvSpPr>
          <xdr:spPr>
            <a:xfrm>
              <a:off x="4468906" y="7936566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9A437D44-D864-498F-AFD1-BE697D82DDF2}"/>
                </a:ext>
              </a:extLst>
            </xdr:cNvPr>
            <xdr:cNvSpPr txBox="1"/>
          </xdr:nvSpPr>
          <xdr:spPr>
            <a:xfrm>
              <a:off x="4468906" y="7936566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28015</xdr:colOff>
      <xdr:row>41</xdr:row>
      <xdr:rowOff>0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888C84B4-D692-49E2-BA38-0038F2185736}"/>
                </a:ext>
              </a:extLst>
            </xdr:cNvPr>
            <xdr:cNvSpPr txBox="1"/>
          </xdr:nvSpPr>
          <xdr:spPr>
            <a:xfrm>
              <a:off x="6057340" y="7934325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888C84B4-D692-49E2-BA38-0038F2185736}"/>
                </a:ext>
              </a:extLst>
            </xdr:cNvPr>
            <xdr:cNvSpPr txBox="1"/>
          </xdr:nvSpPr>
          <xdr:spPr>
            <a:xfrm>
              <a:off x="6057340" y="7934325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103093</xdr:colOff>
      <xdr:row>43</xdr:row>
      <xdr:rowOff>164727</xdr:rowOff>
    </xdr:from>
    <xdr:ext cx="202363" cy="179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CE5FEA3E-6718-4481-8DEF-1FA31C32C70B}"/>
                </a:ext>
              </a:extLst>
            </xdr:cNvPr>
            <xdr:cNvSpPr txBox="1"/>
          </xdr:nvSpPr>
          <xdr:spPr>
            <a:xfrm>
              <a:off x="3827368" y="8480052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CE5FEA3E-6718-4481-8DEF-1FA31C32C70B}"/>
                </a:ext>
              </a:extLst>
            </xdr:cNvPr>
            <xdr:cNvSpPr txBox="1"/>
          </xdr:nvSpPr>
          <xdr:spPr>
            <a:xfrm>
              <a:off x="3827368" y="8480052"/>
              <a:ext cx="202363" cy="179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√</a:t>
              </a:r>
              <a:r>
                <a:rPr lang="fr-FR" sz="1100" b="0" i="0">
                  <a:latin typeface="Cambria Math" panose="02040503050406030204" pitchFamily="18" charset="0"/>
                </a:rPr>
                <a:t>𝑛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504264</xdr:colOff>
      <xdr:row>12</xdr:row>
      <xdr:rowOff>5603</xdr:rowOff>
    </xdr:from>
    <xdr:ext cx="1098177" cy="375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5EEBEBAF-FAD1-46C9-AA68-644D5186AE27}"/>
                </a:ext>
              </a:extLst>
            </xdr:cNvPr>
            <xdr:cNvSpPr txBox="1"/>
          </xdr:nvSpPr>
          <xdr:spPr>
            <a:xfrm>
              <a:off x="8438589" y="2329703"/>
              <a:ext cx="1098177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𝑺</m:t>
                  </m:r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fr-FR" sz="12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</m:oMath>
              </a14:m>
              <a:r>
                <a:rPr lang="fr-FR" sz="1200" b="1"/>
                <a:t>'m*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𝟏</m:t>
                          </m:r>
                        </m:den>
                      </m:f>
                    </m:e>
                  </m:rad>
                </m:oMath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5EEBEBAF-FAD1-46C9-AA68-644D5186AE27}"/>
                </a:ext>
              </a:extLst>
            </xdr:cNvPr>
            <xdr:cNvSpPr txBox="1"/>
          </xdr:nvSpPr>
          <xdr:spPr>
            <a:xfrm>
              <a:off x="8438589" y="2329703"/>
              <a:ext cx="1098177" cy="375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𝑺=𝝈</a:t>
              </a:r>
              <a:r>
                <a:rPr lang="fr-FR" sz="1200" b="1"/>
                <a:t>'m*</a:t>
              </a:r>
              <a:r>
                <a:rPr lang="fr-FR" sz="1200" b="1" i="0">
                  <a:latin typeface="Cambria Math" panose="02040503050406030204" pitchFamily="18" charset="0"/>
                </a:rPr>
                <a:t>√(𝒏/(𝒏−𝟏))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375397</xdr:colOff>
      <xdr:row>11</xdr:row>
      <xdr:rowOff>7844</xdr:rowOff>
    </xdr:from>
    <xdr:ext cx="1283073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B64138BC-54E6-4888-ACC9-A32F6C049AE6}"/>
                </a:ext>
              </a:extLst>
            </xdr:cNvPr>
            <xdr:cNvSpPr txBox="1"/>
          </xdr:nvSpPr>
          <xdr:spPr>
            <a:xfrm>
              <a:off x="7166722" y="214144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𝒎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  <m:f>
                    <m:fPr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200" b="1" i="1">
                          <a:latin typeface="Cambria Math" panose="02040503050406030204" pitchFamily="18" charset="0"/>
                        </a:rPr>
                        <m:t>𝑺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𝒎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f>
                    <m:fPr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B64138BC-54E6-4888-ACC9-A32F6C049AE6}"/>
                </a:ext>
              </a:extLst>
            </xdr:cNvPr>
            <xdr:cNvSpPr txBox="1"/>
          </xdr:nvSpPr>
          <xdr:spPr>
            <a:xfrm>
              <a:off x="7166722" y="2141444"/>
              <a:ext cx="1283073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[𝒎−𝒕 𝑺/√𝒏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𝒎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𝑺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/√𝒏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30255</xdr:colOff>
      <xdr:row>15</xdr:row>
      <xdr:rowOff>13447</xdr:rowOff>
    </xdr:from>
    <xdr:ext cx="850810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3C9C9124-35D3-4A67-9447-0BFE8F50DE75}"/>
                </a:ext>
              </a:extLst>
            </xdr:cNvPr>
            <xdr:cNvSpPr txBox="1"/>
          </xdr:nvSpPr>
          <xdr:spPr>
            <a:xfrm>
              <a:off x="7202580" y="2909047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3C9C9124-35D3-4A67-9447-0BFE8F50DE75}"/>
                </a:ext>
              </a:extLst>
            </xdr:cNvPr>
            <xdr:cNvSpPr txBox="1"/>
          </xdr:nvSpPr>
          <xdr:spPr>
            <a:xfrm>
              <a:off x="7202580" y="2909047"/>
              <a:ext cx="850810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𝝅(𝒕)−𝟏=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15</xdr:row>
      <xdr:rowOff>190500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D28ED8F2-9B99-4479-A22C-650325A6B012}"/>
                </a:ext>
              </a:extLst>
            </xdr:cNvPr>
            <xdr:cNvSpPr txBox="1"/>
          </xdr:nvSpPr>
          <xdr:spPr>
            <a:xfrm>
              <a:off x="7172325" y="3086100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D28ED8F2-9B99-4479-A22C-650325A6B012}"/>
                </a:ext>
              </a:extLst>
            </xdr:cNvPr>
            <xdr:cNvSpPr txBox="1"/>
          </xdr:nvSpPr>
          <xdr:spPr>
            <a:xfrm>
              <a:off x="7172325" y="3086100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𝟐</a:t>
              </a:r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44824</xdr:colOff>
      <xdr:row>17</xdr:row>
      <xdr:rowOff>5603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7970918D-633E-45B7-9F95-67AC9B4806EA}"/>
                </a:ext>
              </a:extLst>
            </xdr:cNvPr>
            <xdr:cNvSpPr txBox="1"/>
          </xdr:nvSpPr>
          <xdr:spPr>
            <a:xfrm>
              <a:off x="7217149" y="329172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7970918D-633E-45B7-9F95-67AC9B4806EA}"/>
                </a:ext>
              </a:extLst>
            </xdr:cNvPr>
            <xdr:cNvSpPr txBox="1"/>
          </xdr:nvSpPr>
          <xdr:spPr>
            <a:xfrm>
              <a:off x="7217149" y="3291728"/>
              <a:ext cx="509868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11</xdr:col>
      <xdr:colOff>0</xdr:colOff>
      <xdr:row>19</xdr:row>
      <xdr:rowOff>0</xdr:rowOff>
    </xdr:from>
    <xdr:ext cx="509868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9E5AF31B-3F5F-4076-9518-64DB19C2E67B}"/>
                </a:ext>
              </a:extLst>
            </xdr:cNvPr>
            <xdr:cNvSpPr txBox="1"/>
          </xdr:nvSpPr>
          <xdr:spPr>
            <a:xfrm>
              <a:off x="7172325" y="36861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𝝅</m:t>
                    </m:r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9E5AF31B-3F5F-4076-9518-64DB19C2E67B}"/>
                </a:ext>
              </a:extLst>
            </xdr:cNvPr>
            <xdr:cNvSpPr txBox="1"/>
          </xdr:nvSpPr>
          <xdr:spPr>
            <a:xfrm>
              <a:off x="7172325" y="3686175"/>
              <a:ext cx="509868" cy="189604"/>
            </a:xfrm>
            <a:prstGeom prst="rect">
              <a:avLst/>
            </a:prstGeom>
            <a:solidFill>
              <a:srgbClr val="FFFF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𝝅(𝒕)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0</xdr:colOff>
      <xdr:row>24</xdr:row>
      <xdr:rowOff>0</xdr:rowOff>
    </xdr:from>
    <xdr:ext cx="1851072" cy="35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94BB8C9B-1F1E-48FA-955D-A181C9FA85FB}"/>
                </a:ext>
              </a:extLst>
            </xdr:cNvPr>
            <xdr:cNvSpPr txBox="1"/>
          </xdr:nvSpPr>
          <xdr:spPr>
            <a:xfrm>
              <a:off x="3726656" y="4702969"/>
              <a:ext cx="1851072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[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𝑷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−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𝒕</m:t>
                  </m:r>
                </m:oMath>
              </a14:m>
              <a:r>
                <a:rPr lang="fr-FR" sz="1200" b="1"/>
                <a:t>*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1200" b="1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2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𝒑𝒒</m:t>
                          </m:r>
                        </m:num>
                        <m:den>
                          <m:r>
                            <a:rPr lang="fr-FR" sz="12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den>
                      </m:f>
                    </m:e>
                  </m:rad>
                </m:oMath>
              </a14:m>
              <a:r>
                <a:rPr lang="fr-FR" sz="1200" b="1"/>
                <a:t>; </a:t>
              </a:r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fr-FR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𝒕</m:t>
                  </m:r>
                  <m:r>
                    <m:rPr>
                      <m:nor/>
                    </m:rPr>
                    <a:rPr lang="fr-FR" sz="1100" b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∗</m:t>
                  </m:r>
                  <m:rad>
                    <m:radPr>
                      <m:degHide m:val="on"/>
                      <m:ctrlPr>
                        <a:rPr lang="fr-FR" sz="1100" b="1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𝒑𝒒</m:t>
                          </m:r>
                        </m:num>
                        <m:den>
                          <m:r>
                            <a:rPr lang="fr-FR" sz="1100" b="1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𝒏</m:t>
                          </m:r>
                        </m:den>
                      </m:f>
                    </m:e>
                  </m:rad>
                </m:oMath>
              </a14:m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Choice>
      <mc:Fallback xmlns=""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94BB8C9B-1F1E-48FA-955D-A181C9FA85FB}"/>
                </a:ext>
              </a:extLst>
            </xdr:cNvPr>
            <xdr:cNvSpPr txBox="1"/>
          </xdr:nvSpPr>
          <xdr:spPr>
            <a:xfrm>
              <a:off x="3726656" y="4702969"/>
              <a:ext cx="1851072" cy="356347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i="0">
                  <a:latin typeface="Cambria Math" panose="02040503050406030204" pitchFamily="18" charset="0"/>
                </a:rPr>
                <a:t>[𝑷−𝒕</a:t>
              </a:r>
              <a:r>
                <a:rPr lang="fr-FR" sz="1200" b="1"/>
                <a:t>*</a:t>
              </a:r>
              <a:r>
                <a:rPr lang="fr-FR" sz="1200" b="1" i="0">
                  <a:latin typeface="Cambria Math" panose="02040503050406030204" pitchFamily="18" charset="0"/>
                </a:rPr>
                <a:t>√(𝒑𝒒/𝒏)</a:t>
              </a:r>
              <a:r>
                <a:rPr lang="fr-FR" sz="1200" b="1"/>
                <a:t>; 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𝑷+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𝒕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"*</a:t>
              </a:r>
              <a:r>
                <a:rPr lang="fr-F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√(𝒑𝒒/𝒏)</a:t>
              </a:r>
              <a:r>
                <a:rPr lang="fr-FR" sz="1200">
                  <a:effectLst/>
                </a:rPr>
                <a:t>]</a:t>
              </a:r>
            </a:p>
            <a:p>
              <a:endParaRPr lang="fr-FR" sz="12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51AE-627E-476E-ADF1-B4861147FC54}">
  <sheetPr>
    <tabColor theme="9" tint="0.39997558519241921"/>
  </sheetPr>
  <dimension ref="A3:W37"/>
  <sheetViews>
    <sheetView showGridLines="0" zoomScaleNormal="100" workbookViewId="0">
      <selection activeCell="S23" sqref="S23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25">
      <c r="A4" s="318" t="s">
        <v>1</v>
      </c>
      <c r="B4" s="318"/>
      <c r="C4" t="s">
        <v>0</v>
      </c>
      <c r="P4" s="2">
        <f>SUM(nb_copie)</f>
        <v>80</v>
      </c>
      <c r="T4" s="319" t="s">
        <v>2</v>
      </c>
      <c r="U4" s="319"/>
      <c r="V4" s="319"/>
      <c r="W4" s="319"/>
    </row>
    <row r="5" spans="1:23" x14ac:dyDescent="0.25">
      <c r="A5" s="2">
        <v>0</v>
      </c>
      <c r="B5" s="2">
        <v>4</v>
      </c>
      <c r="C5" s="2">
        <v>10</v>
      </c>
      <c r="D5" s="4">
        <f>+C5</f>
        <v>10</v>
      </c>
      <c r="E5" s="12">
        <v>80</v>
      </c>
      <c r="F5" s="5">
        <f>+C5/$P$4*100</f>
        <v>12.5</v>
      </c>
      <c r="G5" s="5">
        <f>+F5</f>
        <v>12.5</v>
      </c>
      <c r="H5" s="19">
        <f>+G9</f>
        <v>100</v>
      </c>
      <c r="I5" s="4">
        <f>(+A5+B5)/2</f>
        <v>2</v>
      </c>
      <c r="J5" s="4">
        <f>+C5*I5</f>
        <v>20</v>
      </c>
      <c r="K5" s="4">
        <f>+I5-$S$28</f>
        <v>-7.75</v>
      </c>
      <c r="L5" s="16">
        <f>+K5^2</f>
        <v>60.0625</v>
      </c>
      <c r="M5" s="5">
        <f>+L5*C5</f>
        <v>600.625</v>
      </c>
      <c r="T5" s="319" t="s">
        <v>3</v>
      </c>
      <c r="U5" s="319"/>
      <c r="V5" s="319"/>
      <c r="W5" s="319"/>
    </row>
    <row r="6" spans="1:23" x14ac:dyDescent="0.25">
      <c r="A6" s="2">
        <v>4</v>
      </c>
      <c r="B6" s="2">
        <v>8</v>
      </c>
      <c r="C6" s="2">
        <v>15</v>
      </c>
      <c r="D6" s="4">
        <f>+D5+C6</f>
        <v>25</v>
      </c>
      <c r="E6" s="4">
        <f>+E5-C5</f>
        <v>70</v>
      </c>
      <c r="F6" s="5">
        <f t="shared" ref="F6:F9" si="0">+C6/$P$4*100</f>
        <v>18.75</v>
      </c>
      <c r="G6" s="5">
        <f>+G5+F6</f>
        <v>31.25</v>
      </c>
      <c r="H6" s="5">
        <f>+H5-F5</f>
        <v>87.5</v>
      </c>
      <c r="I6" s="4">
        <f t="shared" ref="I6:I9" si="1">(+A6+B6)/2</f>
        <v>6</v>
      </c>
      <c r="J6" s="4">
        <f t="shared" ref="J6:J9" si="2">+C6*I6</f>
        <v>90</v>
      </c>
      <c r="K6" s="4">
        <f t="shared" ref="K6:K9" si="3">+I6-$S$28</f>
        <v>-3.75</v>
      </c>
      <c r="L6" s="16">
        <f t="shared" ref="L6:L9" si="4">+K6^2</f>
        <v>14.0625</v>
      </c>
      <c r="M6" s="5">
        <f t="shared" ref="M6:M9" si="5">+L6*C6</f>
        <v>210.9375</v>
      </c>
      <c r="P6" s="3">
        <f>+P4/2</f>
        <v>40</v>
      </c>
      <c r="T6" s="319"/>
      <c r="U6" s="319"/>
      <c r="V6" s="319"/>
      <c r="W6" s="319"/>
    </row>
    <row r="7" spans="1:23" x14ac:dyDescent="0.25">
      <c r="A7" s="2">
        <v>8</v>
      </c>
      <c r="B7" s="2">
        <v>12</v>
      </c>
      <c r="C7" s="2">
        <v>30</v>
      </c>
      <c r="D7" s="4">
        <f t="shared" ref="D7:D9" si="6">+D6+C7</f>
        <v>55</v>
      </c>
      <c r="E7" s="4">
        <f t="shared" ref="E7:E9" si="7">+E6-C6</f>
        <v>55</v>
      </c>
      <c r="F7" s="5">
        <f t="shared" si="0"/>
        <v>37.5</v>
      </c>
      <c r="G7" s="5">
        <f t="shared" ref="G7:G9" si="8">+G6+F7</f>
        <v>68.75</v>
      </c>
      <c r="H7" s="5">
        <f t="shared" ref="H7:H9" si="9">+H6-F6</f>
        <v>68.75</v>
      </c>
      <c r="I7" s="4">
        <f t="shared" si="1"/>
        <v>10</v>
      </c>
      <c r="J7" s="4">
        <f t="shared" si="2"/>
        <v>300</v>
      </c>
      <c r="K7" s="4">
        <f t="shared" si="3"/>
        <v>0.25</v>
      </c>
      <c r="L7" s="16">
        <f t="shared" si="4"/>
        <v>6.25E-2</v>
      </c>
      <c r="M7" s="5">
        <f t="shared" si="5"/>
        <v>1.875</v>
      </c>
      <c r="T7" s="319"/>
      <c r="U7" s="319"/>
      <c r="V7" s="319"/>
      <c r="W7" s="319"/>
    </row>
    <row r="8" spans="1:23" x14ac:dyDescent="0.25">
      <c r="A8" s="2">
        <v>12</v>
      </c>
      <c r="B8" s="2">
        <v>16</v>
      </c>
      <c r="C8" s="2">
        <v>20</v>
      </c>
      <c r="D8" s="4">
        <f t="shared" si="6"/>
        <v>75</v>
      </c>
      <c r="E8" s="4">
        <f t="shared" si="7"/>
        <v>25</v>
      </c>
      <c r="F8" s="5">
        <f t="shared" si="0"/>
        <v>25</v>
      </c>
      <c r="G8" s="5">
        <f t="shared" si="8"/>
        <v>93.75</v>
      </c>
      <c r="H8" s="5">
        <f t="shared" si="9"/>
        <v>31.25</v>
      </c>
      <c r="I8" s="4">
        <f t="shared" si="1"/>
        <v>14</v>
      </c>
      <c r="J8" s="4">
        <f t="shared" si="2"/>
        <v>280</v>
      </c>
      <c r="K8" s="4">
        <f t="shared" si="3"/>
        <v>4.25</v>
      </c>
      <c r="L8" s="16">
        <f t="shared" si="4"/>
        <v>18.0625</v>
      </c>
      <c r="M8" s="5">
        <f t="shared" si="5"/>
        <v>361.25</v>
      </c>
      <c r="P8" s="2">
        <f>SUM(ni_ci)</f>
        <v>780</v>
      </c>
      <c r="T8" s="319"/>
      <c r="U8" s="319"/>
      <c r="V8" s="319"/>
      <c r="W8" s="319"/>
    </row>
    <row r="9" spans="1:23" x14ac:dyDescent="0.25">
      <c r="A9" s="2">
        <v>16</v>
      </c>
      <c r="B9" s="2">
        <v>20</v>
      </c>
      <c r="C9" s="2">
        <v>5</v>
      </c>
      <c r="D9" s="4">
        <f t="shared" si="6"/>
        <v>80</v>
      </c>
      <c r="E9" s="4">
        <f t="shared" si="7"/>
        <v>5</v>
      </c>
      <c r="F9" s="5">
        <f t="shared" si="0"/>
        <v>6.25</v>
      </c>
      <c r="G9" s="5">
        <f t="shared" si="8"/>
        <v>100</v>
      </c>
      <c r="H9" s="5">
        <f t="shared" si="9"/>
        <v>6.25</v>
      </c>
      <c r="I9" s="4">
        <f t="shared" si="1"/>
        <v>18</v>
      </c>
      <c r="J9" s="4">
        <f t="shared" si="2"/>
        <v>90</v>
      </c>
      <c r="K9" s="4">
        <f t="shared" si="3"/>
        <v>8.25</v>
      </c>
      <c r="L9" s="16">
        <f t="shared" si="4"/>
        <v>68.0625</v>
      </c>
      <c r="M9" s="5">
        <f t="shared" si="5"/>
        <v>340.3125</v>
      </c>
      <c r="T9" s="319"/>
      <c r="U9" s="319"/>
      <c r="V9" s="319"/>
      <c r="W9" s="319"/>
    </row>
    <row r="10" spans="1:23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317" t="s">
        <v>4</v>
      </c>
      <c r="P14" s="317"/>
      <c r="Q14" s="317"/>
      <c r="R14" s="317"/>
      <c r="S14" s="317"/>
    </row>
    <row r="15" spans="1:23" x14ac:dyDescent="0.25">
      <c r="Q15" t="s">
        <v>5</v>
      </c>
      <c r="R15" s="8">
        <v>25</v>
      </c>
      <c r="S15" s="8">
        <v>55</v>
      </c>
      <c r="T15" s="11">
        <f>+S15-R15</f>
        <v>30</v>
      </c>
    </row>
    <row r="16" spans="1:23" x14ac:dyDescent="0.25">
      <c r="Q16" t="s">
        <v>5</v>
      </c>
      <c r="R16" s="8">
        <v>8</v>
      </c>
      <c r="S16" s="8">
        <v>12</v>
      </c>
      <c r="T16" s="11">
        <f>+S16-R16</f>
        <v>4</v>
      </c>
    </row>
    <row r="18" spans="15:20" x14ac:dyDescent="0.25">
      <c r="Q18" s="11">
        <f>+T16/T15</f>
        <v>0.13333333333333333</v>
      </c>
      <c r="R18" s="10">
        <f>+P6-R15</f>
        <v>15</v>
      </c>
      <c r="S18" s="9">
        <f>+Q18*R18+R16</f>
        <v>10</v>
      </c>
    </row>
    <row r="20" spans="15:20" x14ac:dyDescent="0.25">
      <c r="O20" s="317" t="s">
        <v>6</v>
      </c>
      <c r="P20" s="317"/>
      <c r="Q20" s="317"/>
      <c r="R20" s="317"/>
      <c r="S20" s="317"/>
    </row>
    <row r="21" spans="15:20" x14ac:dyDescent="0.25">
      <c r="Q21" t="s">
        <v>5</v>
      </c>
      <c r="R21" s="8">
        <v>31.3</v>
      </c>
      <c r="S21" s="8">
        <v>68.8</v>
      </c>
      <c r="T21" s="11">
        <f>+S21-R21</f>
        <v>37.5</v>
      </c>
    </row>
    <row r="22" spans="15:20" x14ac:dyDescent="0.25">
      <c r="Q22" t="s">
        <v>5</v>
      </c>
      <c r="R22" s="8">
        <v>8</v>
      </c>
      <c r="S22" s="8">
        <v>12</v>
      </c>
      <c r="T22" s="11">
        <f>+S22-R22</f>
        <v>4</v>
      </c>
    </row>
    <row r="24" spans="15:20" x14ac:dyDescent="0.25">
      <c r="Q24" s="11">
        <f>+T22/T21</f>
        <v>0.10666666666666667</v>
      </c>
      <c r="R24" s="11">
        <f>+P10-R21</f>
        <v>18.7</v>
      </c>
      <c r="S24" s="13">
        <f>+Q24*R24+R22</f>
        <v>9.9946666666666673</v>
      </c>
    </row>
    <row r="26" spans="15:20" x14ac:dyDescent="0.25">
      <c r="O26" s="317" t="s">
        <v>7</v>
      </c>
      <c r="P26" s="317"/>
      <c r="Q26" s="317"/>
      <c r="R26" s="317"/>
      <c r="S26" s="317"/>
    </row>
    <row r="28" spans="15:20" x14ac:dyDescent="0.25">
      <c r="S28" s="9">
        <f>+P8/P4</f>
        <v>9.75</v>
      </c>
    </row>
    <row r="30" spans="15:20" x14ac:dyDescent="0.25">
      <c r="O30" s="317" t="s">
        <v>8</v>
      </c>
      <c r="P30" s="317"/>
      <c r="Q30" s="317"/>
      <c r="R30" s="317"/>
      <c r="S30" s="317"/>
    </row>
    <row r="32" spans="15:20" x14ac:dyDescent="0.25">
      <c r="S32" s="14">
        <f>+Q12/P4</f>
        <v>18.9375</v>
      </c>
    </row>
    <row r="34" spans="15:19" x14ac:dyDescent="0.25">
      <c r="O34" s="317" t="s">
        <v>9</v>
      </c>
      <c r="P34" s="317"/>
      <c r="Q34" s="317"/>
      <c r="R34" s="317"/>
      <c r="S34" s="317"/>
    </row>
    <row r="35" spans="15:19" ht="15.75" thickBot="1" x14ac:dyDescent="0.3"/>
    <row r="36" spans="15:19" ht="16.5" thickTop="1" thickBot="1" x14ac:dyDescent="0.3">
      <c r="Q36" s="18" t="str">
        <f>IF(S36&lt;1.5,"Homogéne","Hétérogéne")</f>
        <v>Hétérogéne</v>
      </c>
      <c r="S36" s="15">
        <f>SQRT(S32)</f>
        <v>4.351723796382303</v>
      </c>
    </row>
    <row r="37" spans="15:19" ht="15.75" thickTop="1" x14ac:dyDescent="0.25"/>
  </sheetData>
  <mergeCells count="12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9158-9400-4A3F-8ECF-9E84279632F2}">
  <sheetPr>
    <tabColor rgb="FFFFFF00"/>
  </sheetPr>
  <dimension ref="A1:W37"/>
  <sheetViews>
    <sheetView showGridLines="0" zoomScaleNormal="100" workbookViewId="0">
      <selection sqref="A1:XFD1048576"/>
    </sheetView>
  </sheetViews>
  <sheetFormatPr baseColWidth="10" defaultRowHeight="15" x14ac:dyDescent="0.25"/>
  <cols>
    <col min="2" max="2" width="10.140625" customWidth="1"/>
    <col min="5" max="6" width="5.7109375" customWidth="1"/>
    <col min="7" max="7" width="7.7109375" customWidth="1"/>
    <col min="11" max="11" width="5.7109375" customWidth="1"/>
    <col min="13" max="13" width="7.7109375" customWidth="1"/>
    <col min="16" max="16" width="10.7109375" customWidth="1"/>
    <col min="21" max="21" width="1.28515625" customWidth="1"/>
  </cols>
  <sheetData>
    <row r="1" spans="1:23" ht="15.75" thickBot="1" x14ac:dyDescent="0.3">
      <c r="G1" s="426" t="s">
        <v>185</v>
      </c>
      <c r="H1" s="426"/>
      <c r="I1" s="426"/>
      <c r="J1" s="426"/>
      <c r="K1" s="426"/>
      <c r="L1" s="426"/>
      <c r="M1" s="426"/>
      <c r="N1" s="426"/>
      <c r="O1" s="426"/>
      <c r="U1" s="237"/>
    </row>
    <row r="2" spans="1:23" ht="15.75" thickTop="1" x14ac:dyDescent="0.25">
      <c r="A2" s="427" t="s">
        <v>164</v>
      </c>
      <c r="B2" s="194"/>
      <c r="C2" s="324" t="s">
        <v>159</v>
      </c>
      <c r="D2" s="325"/>
      <c r="E2" s="422"/>
      <c r="F2" s="423"/>
      <c r="G2" s="427" t="s">
        <v>172</v>
      </c>
      <c r="H2" s="194"/>
      <c r="I2" s="324" t="s">
        <v>160</v>
      </c>
      <c r="J2" s="325"/>
      <c r="K2" s="203"/>
      <c r="L2" s="427" t="s">
        <v>172</v>
      </c>
      <c r="M2" s="194"/>
      <c r="N2" s="324" t="s">
        <v>160</v>
      </c>
      <c r="O2" s="325"/>
      <c r="P2" s="210"/>
      <c r="Q2" s="427" t="s">
        <v>164</v>
      </c>
      <c r="R2" s="194"/>
      <c r="S2" s="324" t="s">
        <v>159</v>
      </c>
      <c r="T2" s="325"/>
      <c r="U2" s="237"/>
      <c r="V2" s="220" t="s">
        <v>183</v>
      </c>
      <c r="W2" s="221"/>
    </row>
    <row r="3" spans="1:23" x14ac:dyDescent="0.25">
      <c r="A3" s="428"/>
      <c r="B3" s="195"/>
      <c r="C3" s="430" t="s">
        <v>170</v>
      </c>
      <c r="D3" s="431"/>
      <c r="E3" s="422"/>
      <c r="F3" s="423"/>
      <c r="G3" s="428"/>
      <c r="H3" s="195"/>
      <c r="I3" s="430" t="s">
        <v>171</v>
      </c>
      <c r="J3" s="431"/>
      <c r="K3" s="205"/>
      <c r="L3" s="428"/>
      <c r="M3" s="195"/>
      <c r="N3" s="430" t="s">
        <v>171</v>
      </c>
      <c r="O3" s="431"/>
      <c r="P3" s="210"/>
      <c r="Q3" s="428"/>
      <c r="R3" s="195"/>
      <c r="S3" s="430" t="s">
        <v>170</v>
      </c>
      <c r="T3" s="431"/>
      <c r="U3" s="237"/>
      <c r="V3" s="216" t="s">
        <v>177</v>
      </c>
      <c r="W3" s="217"/>
    </row>
    <row r="4" spans="1:23" x14ac:dyDescent="0.25">
      <c r="A4" s="115" t="s">
        <v>11</v>
      </c>
      <c r="B4" s="199">
        <v>10</v>
      </c>
      <c r="C4" s="432" t="s">
        <v>163</v>
      </c>
      <c r="D4" s="433"/>
      <c r="E4" s="436">
        <f>+H4</f>
        <v>49</v>
      </c>
      <c r="F4" s="421"/>
      <c r="G4" s="115" t="s">
        <v>126</v>
      </c>
      <c r="H4" s="199">
        <v>49</v>
      </c>
      <c r="I4" s="432" t="s">
        <v>163</v>
      </c>
      <c r="J4" s="433"/>
      <c r="K4" s="206"/>
      <c r="L4" s="115" t="s">
        <v>126</v>
      </c>
      <c r="M4" s="199">
        <v>60</v>
      </c>
      <c r="N4" s="432" t="s">
        <v>163</v>
      </c>
      <c r="O4" s="433"/>
      <c r="P4" s="232">
        <f>+M4</f>
        <v>60</v>
      </c>
      <c r="Q4" s="115" t="s">
        <v>11</v>
      </c>
      <c r="R4" s="199">
        <v>60</v>
      </c>
      <c r="S4" s="432" t="s">
        <v>163</v>
      </c>
      <c r="T4" s="433"/>
      <c r="U4" s="237"/>
      <c r="V4" s="216" t="s">
        <v>178</v>
      </c>
      <c r="W4" s="217"/>
    </row>
    <row r="5" spans="1:23" x14ac:dyDescent="0.25">
      <c r="A5" s="115" t="s">
        <v>161</v>
      </c>
      <c r="B5" s="199">
        <v>40</v>
      </c>
      <c r="C5" s="432" t="s">
        <v>110</v>
      </c>
      <c r="D5" s="433"/>
      <c r="E5" s="420">
        <f>+E4*H5</f>
        <v>1960</v>
      </c>
      <c r="F5" s="421"/>
      <c r="G5" s="115" t="s">
        <v>162</v>
      </c>
      <c r="H5" s="196">
        <f>+I10</f>
        <v>40</v>
      </c>
      <c r="I5" s="432" t="s">
        <v>110</v>
      </c>
      <c r="J5" s="433"/>
      <c r="K5" s="206"/>
      <c r="L5" s="115" t="s">
        <v>162</v>
      </c>
      <c r="M5" s="207"/>
      <c r="N5" s="432" t="s">
        <v>110</v>
      </c>
      <c r="O5" s="433"/>
      <c r="P5" s="210"/>
      <c r="Q5" s="115" t="s">
        <v>161</v>
      </c>
      <c r="R5" s="227"/>
      <c r="S5" s="432" t="s">
        <v>110</v>
      </c>
      <c r="T5" s="433"/>
      <c r="U5" s="237"/>
      <c r="V5" s="216" t="s">
        <v>179</v>
      </c>
      <c r="W5" s="217"/>
    </row>
    <row r="6" spans="1:23" x14ac:dyDescent="0.25">
      <c r="A6" s="115" t="s">
        <v>127</v>
      </c>
      <c r="B6" s="227"/>
      <c r="C6" s="432" t="s">
        <v>165</v>
      </c>
      <c r="D6" s="433"/>
      <c r="E6" s="422"/>
      <c r="F6" s="423"/>
      <c r="G6" s="115" t="s">
        <v>166</v>
      </c>
      <c r="H6" s="207"/>
      <c r="I6" s="432" t="s">
        <v>165</v>
      </c>
      <c r="J6" s="433"/>
      <c r="K6" s="206"/>
      <c r="L6" s="115" t="s">
        <v>166</v>
      </c>
      <c r="M6" s="196">
        <f>+N10</f>
        <v>0.1</v>
      </c>
      <c r="N6" s="432" t="s">
        <v>165</v>
      </c>
      <c r="O6" s="433"/>
      <c r="P6" s="210">
        <f>+M4*M6</f>
        <v>6</v>
      </c>
      <c r="Q6" s="115" t="s">
        <v>127</v>
      </c>
      <c r="R6" s="199">
        <v>0.1</v>
      </c>
      <c r="S6" s="432" t="s">
        <v>165</v>
      </c>
      <c r="T6" s="433"/>
      <c r="U6" s="237"/>
      <c r="V6" s="216" t="s">
        <v>180</v>
      </c>
      <c r="W6" s="217"/>
    </row>
    <row r="7" spans="1:23" x14ac:dyDescent="0.25">
      <c r="A7" s="197" t="s">
        <v>128</v>
      </c>
      <c r="B7" s="228"/>
      <c r="C7" s="414"/>
      <c r="D7" s="415"/>
      <c r="E7" s="422"/>
      <c r="F7" s="423"/>
      <c r="G7" s="197" t="s">
        <v>169</v>
      </c>
      <c r="H7" s="208"/>
      <c r="I7" s="414"/>
      <c r="J7" s="415"/>
      <c r="K7" s="206"/>
      <c r="L7" s="197" t="s">
        <v>169</v>
      </c>
      <c r="M7" s="198">
        <f>1-M6</f>
        <v>0.9</v>
      </c>
      <c r="N7" s="414" t="s">
        <v>187</v>
      </c>
      <c r="O7" s="415"/>
      <c r="P7" s="210">
        <f>+M4*M7</f>
        <v>54</v>
      </c>
      <c r="Q7" s="197" t="s">
        <v>128</v>
      </c>
      <c r="R7" s="228">
        <f>1-R6</f>
        <v>0.9</v>
      </c>
      <c r="S7" s="414" t="s">
        <v>186</v>
      </c>
      <c r="T7" s="415"/>
      <c r="U7" s="237"/>
      <c r="V7" s="216" t="s">
        <v>181</v>
      </c>
      <c r="W7" s="217"/>
    </row>
    <row r="8" spans="1:23" ht="15.75" thickBot="1" x14ac:dyDescent="0.3">
      <c r="A8" s="58"/>
      <c r="B8" s="201">
        <v>4</v>
      </c>
      <c r="C8" s="417" t="s">
        <v>133</v>
      </c>
      <c r="D8" s="418"/>
      <c r="E8" s="422"/>
      <c r="F8" s="423"/>
      <c r="G8" s="58"/>
      <c r="H8" s="200">
        <f>+J11+J10</f>
        <v>0.5714285714285714</v>
      </c>
      <c r="I8" s="417" t="s">
        <v>133</v>
      </c>
      <c r="J8" s="418"/>
      <c r="K8" s="204"/>
      <c r="L8" s="58"/>
      <c r="M8" s="231">
        <f>+N11</f>
        <v>3.8729833462074169E-2</v>
      </c>
      <c r="N8" s="417" t="s">
        <v>133</v>
      </c>
      <c r="O8" s="418"/>
      <c r="P8" s="210">
        <f>+M4*M6*M7</f>
        <v>5.4</v>
      </c>
      <c r="Q8" s="58"/>
      <c r="R8" s="229"/>
      <c r="S8" s="417" t="s">
        <v>133</v>
      </c>
      <c r="T8" s="418"/>
      <c r="U8" s="237"/>
      <c r="V8" s="218" t="s">
        <v>182</v>
      </c>
      <c r="W8" s="219"/>
    </row>
    <row r="9" spans="1:23" ht="15.75" thickTop="1" x14ac:dyDescent="0.25">
      <c r="G9" s="434" t="s">
        <v>110</v>
      </c>
      <c r="H9" s="434"/>
      <c r="I9" s="434"/>
      <c r="J9" s="434"/>
      <c r="L9" s="434" t="s">
        <v>174</v>
      </c>
      <c r="M9" s="434"/>
      <c r="N9" s="434"/>
      <c r="O9" s="434"/>
      <c r="U9" s="237"/>
    </row>
    <row r="10" spans="1:23" ht="18.75" x14ac:dyDescent="0.3">
      <c r="G10" s="238" t="s">
        <v>167</v>
      </c>
      <c r="H10" s="1" t="s">
        <v>161</v>
      </c>
      <c r="I10" s="183">
        <f>+$B$5</f>
        <v>40</v>
      </c>
      <c r="J10" s="209"/>
      <c r="L10" s="238" t="s">
        <v>168</v>
      </c>
      <c r="M10" s="1" t="s">
        <v>127</v>
      </c>
      <c r="N10" s="183">
        <f>+R6</f>
        <v>0.1</v>
      </c>
      <c r="U10" s="237"/>
    </row>
    <row r="11" spans="1:23" ht="15.75" thickBot="1" x14ac:dyDescent="0.3">
      <c r="I11" s="183">
        <f>+$B$8</f>
        <v>4</v>
      </c>
      <c r="J11" s="435">
        <f>+I11/I12</f>
        <v>0.5714285714285714</v>
      </c>
      <c r="N11" s="230">
        <f>SQRT(($R$6*(1-$R$6))/$M$4)</f>
        <v>3.8729833462074169E-2</v>
      </c>
      <c r="U11" s="237"/>
    </row>
    <row r="12" spans="1:23" ht="15.75" thickTop="1" x14ac:dyDescent="0.25">
      <c r="H12" s="191"/>
      <c r="I12" s="202">
        <f>SQRT(+$H$4)</f>
        <v>7</v>
      </c>
      <c r="J12" s="435"/>
      <c r="U12" s="237"/>
    </row>
    <row r="13" spans="1:23" x14ac:dyDescent="0.25">
      <c r="F13" s="1"/>
      <c r="G13" s="429" t="s">
        <v>173</v>
      </c>
      <c r="H13" s="429"/>
      <c r="I13" s="429"/>
      <c r="J13" s="429"/>
      <c r="L13" s="429" t="s">
        <v>173</v>
      </c>
      <c r="M13" s="429"/>
      <c r="N13" s="429"/>
      <c r="O13" s="429"/>
      <c r="U13" s="237"/>
    </row>
    <row r="14" spans="1:23" x14ac:dyDescent="0.25">
      <c r="F14" s="1"/>
      <c r="G14" s="193"/>
      <c r="H14" s="193"/>
      <c r="I14" s="7"/>
      <c r="J14" s="7"/>
      <c r="L14" s="192"/>
      <c r="M14" s="192"/>
      <c r="U14" s="237"/>
    </row>
    <row r="15" spans="1:23" x14ac:dyDescent="0.25">
      <c r="F15" s="1"/>
      <c r="U15" s="237"/>
    </row>
    <row r="16" spans="1:23" x14ac:dyDescent="0.25">
      <c r="E16" s="1"/>
      <c r="F16" s="1"/>
      <c r="G16" s="215" t="s">
        <v>175</v>
      </c>
      <c r="H16" s="215">
        <v>39</v>
      </c>
      <c r="I16" s="215" t="s">
        <v>176</v>
      </c>
      <c r="J16" s="215">
        <v>0</v>
      </c>
      <c r="L16" s="234" t="s">
        <v>175</v>
      </c>
      <c r="M16" s="234">
        <v>0.09</v>
      </c>
      <c r="N16" s="234" t="s">
        <v>176</v>
      </c>
      <c r="O16" s="234">
        <v>0</v>
      </c>
      <c r="U16" s="237"/>
    </row>
    <row r="17" spans="5:21" x14ac:dyDescent="0.25">
      <c r="E17" s="1"/>
      <c r="F17" s="1"/>
      <c r="H17" s="8">
        <f>(+$H$16-$H$5)/$H$8</f>
        <v>-1.75</v>
      </c>
      <c r="I17" s="7"/>
      <c r="J17" s="212"/>
      <c r="M17" s="233">
        <f>+(M16-M6)/M8</f>
        <v>-0.25819888974716138</v>
      </c>
      <c r="R17" s="180"/>
      <c r="U17" s="237"/>
    </row>
    <row r="18" spans="5:21" x14ac:dyDescent="0.25">
      <c r="G18" s="1">
        <v>1.7</v>
      </c>
      <c r="H18" s="1">
        <v>0.05</v>
      </c>
      <c r="I18" s="224"/>
      <c r="J18" s="225">
        <f>NORMSDIST($G$18+$H$18)</f>
        <v>0.95994084313618289</v>
      </c>
      <c r="L18" s="175">
        <f>ABS(TRUNC(M17,1))</f>
        <v>0.2</v>
      </c>
      <c r="M18" s="175">
        <f>ABS(M17)-L18</f>
        <v>5.8198889747161364E-2</v>
      </c>
      <c r="N18" s="224"/>
      <c r="O18" s="212">
        <f>NORMSDIST($L$18+$M$18)</f>
        <v>0.6018732926311805</v>
      </c>
      <c r="U18" s="237"/>
    </row>
    <row r="19" spans="5:21" x14ac:dyDescent="0.25">
      <c r="G19" s="419" t="s">
        <v>179</v>
      </c>
      <c r="H19" s="419"/>
      <c r="I19" s="226">
        <f>1-J18</f>
        <v>4.0059156863817114E-2</v>
      </c>
      <c r="J19" s="213">
        <f>+I19</f>
        <v>4.0059156863817114E-2</v>
      </c>
      <c r="L19" s="419" t="s">
        <v>179</v>
      </c>
      <c r="M19" s="419"/>
      <c r="N19" s="226">
        <f>1-O18</f>
        <v>0.3981267073688195</v>
      </c>
      <c r="O19" s="213">
        <f>+N19</f>
        <v>0.3981267073688195</v>
      </c>
      <c r="U19" s="237"/>
    </row>
    <row r="20" spans="5:21" x14ac:dyDescent="0.25">
      <c r="U20" s="237"/>
    </row>
    <row r="21" spans="5:21" x14ac:dyDescent="0.25">
      <c r="E21" s="1"/>
      <c r="F21" s="1"/>
      <c r="U21" s="237"/>
    </row>
    <row r="22" spans="5:21" x14ac:dyDescent="0.25">
      <c r="E22" s="1"/>
      <c r="F22" s="1"/>
      <c r="U22" s="237"/>
    </row>
    <row r="23" spans="5:21" x14ac:dyDescent="0.25">
      <c r="E23" s="1"/>
      <c r="F23" s="1"/>
      <c r="G23" s="215" t="s">
        <v>175</v>
      </c>
      <c r="H23" s="215">
        <v>41</v>
      </c>
      <c r="I23" s="215" t="s">
        <v>176</v>
      </c>
      <c r="J23" s="215">
        <v>0</v>
      </c>
      <c r="L23" s="234" t="s">
        <v>175</v>
      </c>
      <c r="M23" s="234">
        <v>0.11</v>
      </c>
      <c r="N23" s="234" t="s">
        <v>176</v>
      </c>
      <c r="O23" s="234"/>
      <c r="U23" s="237"/>
    </row>
    <row r="24" spans="5:21" x14ac:dyDescent="0.25">
      <c r="E24" s="1"/>
      <c r="F24" s="1"/>
      <c r="H24" s="8">
        <f>(+$H$23-$H$5)/$H$8</f>
        <v>1.75</v>
      </c>
      <c r="I24" s="7"/>
      <c r="J24" s="214"/>
      <c r="M24" s="232">
        <f>+(M23-M6)/M8</f>
        <v>0.25819888974716099</v>
      </c>
      <c r="U24" s="237"/>
    </row>
    <row r="25" spans="5:21" x14ac:dyDescent="0.25">
      <c r="G25">
        <v>1.7</v>
      </c>
      <c r="H25">
        <v>0.05</v>
      </c>
      <c r="I25" s="224"/>
      <c r="J25" s="225">
        <f>NORMSDIST($G$25+$H$25)</f>
        <v>0.95994084313618289</v>
      </c>
      <c r="L25" s="175">
        <f>ABS(TRUNC(M24,1))</f>
        <v>0.2</v>
      </c>
      <c r="M25" s="175">
        <f>ABS(M24)-L25</f>
        <v>5.8198889747160976E-2</v>
      </c>
      <c r="N25" s="224"/>
      <c r="O25" s="212">
        <f>NORMSDIST($L$25+$M$25)</f>
        <v>0.60187329263118028</v>
      </c>
      <c r="U25" s="237"/>
    </row>
    <row r="26" spans="5:21" x14ac:dyDescent="0.25">
      <c r="G26" s="419" t="s">
        <v>177</v>
      </c>
      <c r="H26" s="419"/>
      <c r="I26" s="226">
        <f>1-J25</f>
        <v>4.0059156863817114E-2</v>
      </c>
      <c r="J26" s="213">
        <f>+I26</f>
        <v>4.0059156863817114E-2</v>
      </c>
      <c r="L26" s="416" t="s">
        <v>177</v>
      </c>
      <c r="M26" s="416"/>
      <c r="N26" s="226">
        <f>1-O25</f>
        <v>0.39812670736881972</v>
      </c>
      <c r="O26" s="213">
        <f>+N26</f>
        <v>0.39812670736881972</v>
      </c>
      <c r="U26" s="237"/>
    </row>
    <row r="27" spans="5:21" x14ac:dyDescent="0.25">
      <c r="U27" s="237"/>
    </row>
    <row r="28" spans="5:21" x14ac:dyDescent="0.25">
      <c r="F28" s="1"/>
      <c r="U28" s="237"/>
    </row>
    <row r="29" spans="5:21" x14ac:dyDescent="0.25">
      <c r="F29" s="1"/>
      <c r="U29" s="237"/>
    </row>
    <row r="30" spans="5:21" x14ac:dyDescent="0.25">
      <c r="F30" s="1"/>
      <c r="G30" s="215" t="s">
        <v>175</v>
      </c>
      <c r="H30" s="215">
        <v>39</v>
      </c>
      <c r="I30" s="215" t="s">
        <v>176</v>
      </c>
      <c r="J30" s="215">
        <v>41</v>
      </c>
      <c r="L30" s="234" t="s">
        <v>175</v>
      </c>
      <c r="M30" s="234">
        <v>0.09</v>
      </c>
      <c r="N30" s="234" t="s">
        <v>176</v>
      </c>
      <c r="O30" s="234">
        <v>0.11</v>
      </c>
      <c r="U30" s="237"/>
    </row>
    <row r="31" spans="5:21" x14ac:dyDescent="0.25">
      <c r="F31" s="1"/>
      <c r="G31" s="215"/>
      <c r="H31" s="215"/>
      <c r="I31" s="215"/>
      <c r="J31" s="215"/>
      <c r="L31" s="224"/>
      <c r="M31" s="224"/>
      <c r="N31" s="224"/>
      <c r="O31" s="224"/>
      <c r="U31" s="237"/>
    </row>
    <row r="32" spans="5:21" x14ac:dyDescent="0.25">
      <c r="F32" s="1"/>
      <c r="H32" s="8">
        <f>(+$H$30-$H$5)/$H$8</f>
        <v>-1.75</v>
      </c>
      <c r="I32" s="8">
        <f>(+$J$30-$H$5)/$H$8</f>
        <v>1.75</v>
      </c>
      <c r="M32" s="233">
        <f>(+M30-M6)/M8</f>
        <v>-0.25819888974716138</v>
      </c>
      <c r="N32" s="233">
        <f>+(O30-M6)/M8</f>
        <v>0.25819888974716099</v>
      </c>
      <c r="U32" s="237"/>
    </row>
    <row r="33" spans="7:21" x14ac:dyDescent="0.25">
      <c r="G33" s="211"/>
      <c r="H33" s="2">
        <v>1.7</v>
      </c>
      <c r="I33" s="2">
        <v>0.05</v>
      </c>
      <c r="J33" s="225">
        <f>NORMSDIST($H$33+$I$33)</f>
        <v>0.95994084313618289</v>
      </c>
      <c r="L33" s="224"/>
      <c r="M33" s="12">
        <f>ABS(TRUNC(M32,1))</f>
        <v>0.2</v>
      </c>
      <c r="N33" s="235">
        <f>+N32-M33</f>
        <v>5.8198889747160976E-2</v>
      </c>
      <c r="O33" s="236">
        <f>NORMSDIST($M$33+$N$33)</f>
        <v>0.60187329263118028</v>
      </c>
      <c r="P33" s="9">
        <v>0.60257000000000005</v>
      </c>
      <c r="U33" s="237"/>
    </row>
    <row r="34" spans="7:21" x14ac:dyDescent="0.25">
      <c r="G34" s="223"/>
      <c r="H34" s="2"/>
      <c r="I34" s="2"/>
      <c r="J34" s="225"/>
      <c r="L34" s="224"/>
      <c r="M34" s="12"/>
      <c r="N34" s="12"/>
      <c r="O34" s="225"/>
      <c r="U34" s="237"/>
    </row>
    <row r="35" spans="7:21" x14ac:dyDescent="0.25">
      <c r="G35" s="425" t="s">
        <v>182</v>
      </c>
      <c r="H35" s="425"/>
      <c r="I35" s="425"/>
      <c r="J35" s="213">
        <f>(2*J33)-1</f>
        <v>0.91988168627236577</v>
      </c>
      <c r="L35" s="416" t="s">
        <v>182</v>
      </c>
      <c r="M35" s="416"/>
      <c r="N35" s="416"/>
      <c r="O35" s="213">
        <f>(2*O33)-1</f>
        <v>0.20374658526236056</v>
      </c>
      <c r="P35">
        <v>0.20513999999999999</v>
      </c>
      <c r="U35" s="237"/>
    </row>
    <row r="36" spans="7:21" x14ac:dyDescent="0.25">
      <c r="U36" s="237"/>
    </row>
    <row r="37" spans="7:21" x14ac:dyDescent="0.25">
      <c r="G37" s="424" t="s">
        <v>184</v>
      </c>
      <c r="H37" s="424"/>
      <c r="I37" s="424"/>
      <c r="J37" s="222">
        <f>+J19+J26+J35</f>
        <v>1</v>
      </c>
      <c r="L37" s="424" t="s">
        <v>184</v>
      </c>
      <c r="M37" s="424"/>
      <c r="N37" s="424"/>
      <c r="O37" s="222">
        <f>+O19+O26+O35</f>
        <v>0.99999999999999978</v>
      </c>
      <c r="U37" s="237"/>
    </row>
  </sheetData>
  <mergeCells count="53">
    <mergeCell ref="L2:L3"/>
    <mergeCell ref="N2:O2"/>
    <mergeCell ref="N3:O3"/>
    <mergeCell ref="N4:O4"/>
    <mergeCell ref="N5:O5"/>
    <mergeCell ref="E3:F3"/>
    <mergeCell ref="J11:J12"/>
    <mergeCell ref="G2:G3"/>
    <mergeCell ref="I2:J2"/>
    <mergeCell ref="A2:A3"/>
    <mergeCell ref="I3:J3"/>
    <mergeCell ref="I4:J4"/>
    <mergeCell ref="I5:J5"/>
    <mergeCell ref="E2:F2"/>
    <mergeCell ref="C2:D2"/>
    <mergeCell ref="C3:D3"/>
    <mergeCell ref="C4:D4"/>
    <mergeCell ref="C5:D5"/>
    <mergeCell ref="C6:D6"/>
    <mergeCell ref="C8:D8"/>
    <mergeCell ref="E4:F4"/>
    <mergeCell ref="G1:O1"/>
    <mergeCell ref="Q2:Q3"/>
    <mergeCell ref="L13:O13"/>
    <mergeCell ref="L19:M19"/>
    <mergeCell ref="S2:T2"/>
    <mergeCell ref="S3:T3"/>
    <mergeCell ref="S4:T4"/>
    <mergeCell ref="S5:T5"/>
    <mergeCell ref="S6:T6"/>
    <mergeCell ref="I6:J6"/>
    <mergeCell ref="I8:J8"/>
    <mergeCell ref="L9:O9"/>
    <mergeCell ref="G9:J9"/>
    <mergeCell ref="G13:J13"/>
    <mergeCell ref="N6:O6"/>
    <mergeCell ref="N8:O8"/>
    <mergeCell ref="E5:F5"/>
    <mergeCell ref="E6:F6"/>
    <mergeCell ref="E7:F7"/>
    <mergeCell ref="E8:F8"/>
    <mergeCell ref="L37:N37"/>
    <mergeCell ref="L35:N35"/>
    <mergeCell ref="G35:I35"/>
    <mergeCell ref="G37:I37"/>
    <mergeCell ref="C7:D7"/>
    <mergeCell ref="S7:T7"/>
    <mergeCell ref="I7:J7"/>
    <mergeCell ref="N7:O7"/>
    <mergeCell ref="L26:M26"/>
    <mergeCell ref="S8:T8"/>
    <mergeCell ref="G19:H19"/>
    <mergeCell ref="G26:H26"/>
  </mergeCells>
  <conditionalFormatting sqref="P4">
    <cfRule type="cellIs" dxfId="11" priority="4" operator="greaterThanOrEqual">
      <formula>30</formula>
    </cfRule>
  </conditionalFormatting>
  <conditionalFormatting sqref="P6:P8">
    <cfRule type="cellIs" dxfId="10" priority="1" operator="greaterThanOrEqual">
      <formula>5</formula>
    </cfRule>
  </conditionalFormatting>
  <dataValidations disablePrompts="1" count="1">
    <dataValidation type="list" allowBlank="1" showInputMessage="1" showErrorMessage="1" sqref="G35 G19 G26:H26 L19:M19 L26:M26 L35:N35" xr:uid="{574BBB9D-9D3D-4A46-8EA9-583D164501B9}">
      <formula1>theoreme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CE19-C403-40E7-811A-D19AF42F7DAE}">
  <sheetPr>
    <tabColor rgb="FFFFFF66"/>
  </sheetPr>
  <dimension ref="A1:W42"/>
  <sheetViews>
    <sheetView showGridLines="0" tabSelected="1" zoomScaleNormal="100" workbookViewId="0">
      <selection activeCell="Q23" sqref="Q23"/>
    </sheetView>
  </sheetViews>
  <sheetFormatPr baseColWidth="10" defaultRowHeight="15" x14ac:dyDescent="0.25"/>
  <cols>
    <col min="2" max="2" width="10.140625" customWidth="1"/>
    <col min="5" max="6" width="5.7109375" customWidth="1"/>
    <col min="7" max="7" width="7.7109375" customWidth="1"/>
    <col min="11" max="11" width="5.7109375" customWidth="1"/>
    <col min="13" max="13" width="11.42578125" customWidth="1"/>
    <col min="16" max="16" width="10.7109375" customWidth="1"/>
    <col min="21" max="21" width="1.28515625" customWidth="1"/>
  </cols>
  <sheetData>
    <row r="1" spans="1:23" ht="15.75" thickBot="1" x14ac:dyDescent="0.3">
      <c r="G1" s="426" t="s">
        <v>185</v>
      </c>
      <c r="H1" s="426"/>
      <c r="I1" s="426"/>
      <c r="J1" s="426"/>
      <c r="K1" s="426"/>
      <c r="L1" s="426"/>
      <c r="M1" s="426"/>
      <c r="N1" s="426"/>
      <c r="O1" s="426"/>
      <c r="U1" s="237"/>
    </row>
    <row r="2" spans="1:23" ht="15.75" thickTop="1" x14ac:dyDescent="0.25">
      <c r="A2" s="427" t="s">
        <v>164</v>
      </c>
      <c r="B2" s="194"/>
      <c r="C2" s="324" t="s">
        <v>160</v>
      </c>
      <c r="D2" s="325"/>
      <c r="E2" s="422"/>
      <c r="F2" s="423"/>
      <c r="G2" s="427" t="s">
        <v>172</v>
      </c>
      <c r="H2" s="194"/>
      <c r="I2" s="324" t="s">
        <v>159</v>
      </c>
      <c r="J2" s="325"/>
      <c r="K2" s="203"/>
      <c r="L2" s="427" t="s">
        <v>172</v>
      </c>
      <c r="M2" s="194"/>
      <c r="N2" s="324" t="s">
        <v>159</v>
      </c>
      <c r="O2" s="325"/>
      <c r="P2" s="210"/>
      <c r="Q2" s="427" t="s">
        <v>164</v>
      </c>
      <c r="R2" s="194"/>
      <c r="S2" s="324" t="s">
        <v>160</v>
      </c>
      <c r="T2" s="325"/>
      <c r="U2" s="237"/>
      <c r="V2" s="220" t="s">
        <v>183</v>
      </c>
      <c r="W2" s="221"/>
    </row>
    <row r="3" spans="1:23" x14ac:dyDescent="0.25">
      <c r="A3" s="428"/>
      <c r="B3" s="195"/>
      <c r="C3" s="430" t="s">
        <v>170</v>
      </c>
      <c r="D3" s="431"/>
      <c r="E3" s="422"/>
      <c r="F3" s="423"/>
      <c r="G3" s="428"/>
      <c r="H3" s="195"/>
      <c r="I3" s="430" t="s">
        <v>171</v>
      </c>
      <c r="J3" s="431"/>
      <c r="K3" s="205"/>
      <c r="L3" s="428"/>
      <c r="M3" s="195"/>
      <c r="N3" s="430" t="s">
        <v>171</v>
      </c>
      <c r="O3" s="431"/>
      <c r="P3" s="210"/>
      <c r="Q3" s="428"/>
      <c r="R3" s="195"/>
      <c r="S3" s="430" t="s">
        <v>170</v>
      </c>
      <c r="T3" s="431"/>
      <c r="U3" s="237"/>
      <c r="V3" s="216" t="s">
        <v>177</v>
      </c>
      <c r="W3" s="217"/>
    </row>
    <row r="4" spans="1:23" x14ac:dyDescent="0.25">
      <c r="A4" s="115" t="s">
        <v>126</v>
      </c>
      <c r="B4" s="199">
        <v>30</v>
      </c>
      <c r="C4" s="432" t="s">
        <v>163</v>
      </c>
      <c r="D4" s="433"/>
      <c r="E4" s="437">
        <f>+B4</f>
        <v>30</v>
      </c>
      <c r="F4" s="423"/>
      <c r="G4" s="115" t="s">
        <v>11</v>
      </c>
      <c r="H4" s="199"/>
      <c r="I4" s="432" t="s">
        <v>163</v>
      </c>
      <c r="J4" s="433"/>
      <c r="K4" s="206"/>
      <c r="L4" s="115" t="s">
        <v>11</v>
      </c>
      <c r="M4" s="199"/>
      <c r="N4" s="432" t="s">
        <v>163</v>
      </c>
      <c r="O4" s="433"/>
      <c r="P4" s="232">
        <f>+R4</f>
        <v>150</v>
      </c>
      <c r="Q4" s="115" t="s">
        <v>126</v>
      </c>
      <c r="R4" s="199">
        <v>150</v>
      </c>
      <c r="S4" s="432" t="s">
        <v>163</v>
      </c>
      <c r="T4" s="433"/>
      <c r="U4" s="237"/>
      <c r="V4" s="216" t="s">
        <v>178</v>
      </c>
      <c r="W4" s="217"/>
    </row>
    <row r="5" spans="1:23" x14ac:dyDescent="0.25">
      <c r="A5" s="115" t="s">
        <v>162</v>
      </c>
      <c r="B5" s="199">
        <v>10</v>
      </c>
      <c r="C5" s="432" t="s">
        <v>110</v>
      </c>
      <c r="D5" s="433"/>
      <c r="E5" s="422"/>
      <c r="F5" s="423"/>
      <c r="G5" s="115" t="s">
        <v>161</v>
      </c>
      <c r="H5" s="196">
        <f>+I10</f>
        <v>10</v>
      </c>
      <c r="I5" s="432" t="s">
        <v>110</v>
      </c>
      <c r="J5" s="433"/>
      <c r="K5" s="206"/>
      <c r="L5" s="115" t="s">
        <v>161</v>
      </c>
      <c r="M5" s="199"/>
      <c r="N5" s="432" t="s">
        <v>110</v>
      </c>
      <c r="O5" s="433"/>
      <c r="P5" s="210"/>
      <c r="Q5" s="115" t="s">
        <v>162</v>
      </c>
      <c r="R5" s="199"/>
      <c r="S5" s="432" t="s">
        <v>110</v>
      </c>
      <c r="T5" s="433"/>
      <c r="U5" s="237"/>
      <c r="V5" s="216" t="s">
        <v>179</v>
      </c>
      <c r="W5" s="217"/>
    </row>
    <row r="6" spans="1:23" x14ac:dyDescent="0.25">
      <c r="A6" s="115" t="s">
        <v>166</v>
      </c>
      <c r="B6" s="199"/>
      <c r="C6" s="432" t="s">
        <v>165</v>
      </c>
      <c r="D6" s="433"/>
      <c r="E6" s="422"/>
      <c r="F6" s="423"/>
      <c r="G6" s="115" t="s">
        <v>127</v>
      </c>
      <c r="H6" s="199"/>
      <c r="I6" s="432" t="s">
        <v>165</v>
      </c>
      <c r="J6" s="433"/>
      <c r="K6" s="206"/>
      <c r="L6" s="115" t="s">
        <v>127</v>
      </c>
      <c r="M6" s="196">
        <f>+N11</f>
        <v>0.3</v>
      </c>
      <c r="N6" s="432" t="s">
        <v>165</v>
      </c>
      <c r="O6" s="433"/>
      <c r="P6" s="210">
        <f>+R4*R6</f>
        <v>45</v>
      </c>
      <c r="Q6" s="115" t="s">
        <v>166</v>
      </c>
      <c r="R6" s="199">
        <v>0.3</v>
      </c>
      <c r="S6" s="432" t="s">
        <v>165</v>
      </c>
      <c r="T6" s="433"/>
      <c r="U6" s="237"/>
      <c r="V6" s="216" t="s">
        <v>180</v>
      </c>
      <c r="W6" s="217"/>
    </row>
    <row r="7" spans="1:23" x14ac:dyDescent="0.25">
      <c r="A7" s="197" t="s">
        <v>169</v>
      </c>
      <c r="B7" s="241"/>
      <c r="C7" s="414"/>
      <c r="D7" s="415"/>
      <c r="E7" s="422"/>
      <c r="F7" s="423"/>
      <c r="G7" s="197" t="s">
        <v>128</v>
      </c>
      <c r="H7" s="241"/>
      <c r="I7" s="414"/>
      <c r="J7" s="415"/>
      <c r="K7" s="206"/>
      <c r="L7" s="197" t="s">
        <v>128</v>
      </c>
      <c r="M7" s="228">
        <f>1-M6</f>
        <v>0.7</v>
      </c>
      <c r="N7" s="414" t="s">
        <v>187</v>
      </c>
      <c r="O7" s="415"/>
      <c r="P7" s="210">
        <f>+R4*R7</f>
        <v>105</v>
      </c>
      <c r="Q7" s="197" t="s">
        <v>169</v>
      </c>
      <c r="R7" s="228">
        <f>1-R6</f>
        <v>0.7</v>
      </c>
      <c r="S7" s="414" t="s">
        <v>186</v>
      </c>
      <c r="T7" s="415"/>
      <c r="U7" s="237"/>
      <c r="V7" s="216" t="s">
        <v>181</v>
      </c>
      <c r="W7" s="217"/>
    </row>
    <row r="8" spans="1:23" ht="15.75" thickBot="1" x14ac:dyDescent="0.3">
      <c r="A8" s="58"/>
      <c r="B8" s="201">
        <v>0.2</v>
      </c>
      <c r="C8" s="417" t="s">
        <v>133</v>
      </c>
      <c r="D8" s="418"/>
      <c r="E8" s="422"/>
      <c r="F8" s="423"/>
      <c r="G8" s="58"/>
      <c r="H8" s="200">
        <f>+I12</f>
        <v>0.20341905108624314</v>
      </c>
      <c r="I8" s="417" t="s">
        <v>190</v>
      </c>
      <c r="J8" s="418"/>
      <c r="K8" s="204"/>
      <c r="L8" s="58"/>
      <c r="M8" s="231">
        <f>+N14</f>
        <v>3.7416573867739417E-2</v>
      </c>
      <c r="N8" s="417" t="s">
        <v>133</v>
      </c>
      <c r="O8" s="418"/>
      <c r="P8" s="210">
        <f>+R4*R6*R7</f>
        <v>31.499999999999996</v>
      </c>
      <c r="Q8" s="58"/>
      <c r="R8" s="201"/>
      <c r="S8" s="417" t="s">
        <v>133</v>
      </c>
      <c r="T8" s="418"/>
      <c r="U8" s="237"/>
      <c r="V8" s="218" t="s">
        <v>182</v>
      </c>
      <c r="W8" s="219"/>
    </row>
    <row r="9" spans="1:23" ht="15.75" thickTop="1" x14ac:dyDescent="0.25">
      <c r="G9" s="438" t="s">
        <v>192</v>
      </c>
      <c r="H9" s="434"/>
      <c r="I9" s="434"/>
      <c r="J9" s="439"/>
      <c r="L9" s="438" t="s">
        <v>193</v>
      </c>
      <c r="M9" s="434"/>
      <c r="N9" s="434"/>
      <c r="O9" s="439"/>
      <c r="Q9" s="440" t="s">
        <v>194</v>
      </c>
      <c r="R9" s="440"/>
      <c r="S9" s="440"/>
      <c r="T9" s="440"/>
      <c r="U9" s="237"/>
    </row>
    <row r="10" spans="1:23" ht="18.75" x14ac:dyDescent="0.3">
      <c r="G10" s="242" t="s">
        <v>188</v>
      </c>
      <c r="H10" s="243" t="s">
        <v>162</v>
      </c>
      <c r="I10" s="183">
        <f>+B5</f>
        <v>10</v>
      </c>
      <c r="J10" s="244"/>
      <c r="L10" s="242" t="s">
        <v>188</v>
      </c>
      <c r="M10" s="1" t="s">
        <v>161</v>
      </c>
      <c r="N10" s="183"/>
      <c r="O10" s="252"/>
      <c r="Q10" s="319" t="s">
        <v>191</v>
      </c>
      <c r="R10" s="319"/>
      <c r="S10" s="319"/>
      <c r="T10" s="319"/>
      <c r="U10" s="237"/>
    </row>
    <row r="11" spans="1:23" ht="18.75" x14ac:dyDescent="0.3">
      <c r="G11" s="242" t="s">
        <v>189</v>
      </c>
      <c r="H11" s="243" t="s">
        <v>166</v>
      </c>
      <c r="I11" s="183"/>
      <c r="J11" s="244"/>
      <c r="L11" s="242" t="s">
        <v>189</v>
      </c>
      <c r="M11" s="1" t="s">
        <v>127</v>
      </c>
      <c r="N11" s="183">
        <f>+R6</f>
        <v>0.3</v>
      </c>
      <c r="O11" s="252"/>
      <c r="U11" s="237"/>
    </row>
    <row r="12" spans="1:23" x14ac:dyDescent="0.25">
      <c r="G12" s="245"/>
      <c r="I12" s="444">
        <f>+B8*SQRT(B4/(B4-1))</f>
        <v>0.20341905108624314</v>
      </c>
      <c r="J12" s="447"/>
      <c r="L12" s="245"/>
      <c r="N12" s="446"/>
      <c r="O12" s="252"/>
      <c r="U12" s="237"/>
    </row>
    <row r="13" spans="1:23" x14ac:dyDescent="0.25">
      <c r="G13" s="245"/>
      <c r="I13" s="444"/>
      <c r="J13" s="447"/>
      <c r="L13" s="245"/>
      <c r="N13" s="446"/>
      <c r="O13" s="252"/>
      <c r="U13" s="237"/>
    </row>
    <row r="14" spans="1:23" x14ac:dyDescent="0.25">
      <c r="G14" s="245"/>
      <c r="I14" s="250"/>
      <c r="J14" s="246"/>
      <c r="L14" s="245"/>
      <c r="N14" s="444">
        <f>SQRT((+R6*R7)/R4)</f>
        <v>3.7416573867739417E-2</v>
      </c>
      <c r="O14" s="252"/>
      <c r="U14" s="237"/>
    </row>
    <row r="15" spans="1:23" ht="15.75" thickBot="1" x14ac:dyDescent="0.3">
      <c r="G15" s="247"/>
      <c r="H15" s="132"/>
      <c r="I15" s="251"/>
      <c r="J15" s="248"/>
      <c r="L15" s="247"/>
      <c r="M15" s="132"/>
      <c r="N15" s="445"/>
      <c r="O15" s="133"/>
      <c r="U15" s="237"/>
    </row>
    <row r="16" spans="1:23" ht="16.5" thickTop="1" thickBot="1" x14ac:dyDescent="0.3">
      <c r="I16" s="250"/>
      <c r="J16" s="253"/>
      <c r="N16" s="254"/>
      <c r="U16" s="237"/>
    </row>
    <row r="17" spans="5:21" ht="15.75" thickTop="1" x14ac:dyDescent="0.25">
      <c r="F17" s="1"/>
      <c r="G17" s="448" t="s">
        <v>173</v>
      </c>
      <c r="H17" s="449"/>
      <c r="I17" s="449"/>
      <c r="J17" s="449"/>
      <c r="K17" s="255"/>
      <c r="L17" s="450" t="s">
        <v>173</v>
      </c>
      <c r="M17" s="450"/>
      <c r="N17" s="450"/>
      <c r="O17" s="451"/>
      <c r="U17" s="237"/>
    </row>
    <row r="18" spans="5:21" x14ac:dyDescent="0.25">
      <c r="F18" s="1"/>
      <c r="G18" s="256"/>
      <c r="H18" s="193"/>
      <c r="I18" s="7"/>
      <c r="J18" s="7"/>
      <c r="L18" s="192"/>
      <c r="M18" s="192"/>
      <c r="O18" s="257"/>
      <c r="U18" s="237"/>
    </row>
    <row r="19" spans="5:21" x14ac:dyDescent="0.25">
      <c r="F19" s="1"/>
      <c r="G19" s="258"/>
      <c r="O19" s="257"/>
      <c r="U19" s="237"/>
    </row>
    <row r="20" spans="5:21" x14ac:dyDescent="0.25">
      <c r="E20" s="1"/>
      <c r="F20" s="1"/>
      <c r="G20" s="259" t="s">
        <v>175</v>
      </c>
      <c r="H20" s="215">
        <v>0</v>
      </c>
      <c r="I20" s="215" t="s">
        <v>176</v>
      </c>
      <c r="J20" s="215">
        <v>0</v>
      </c>
      <c r="L20" s="234" t="s">
        <v>175</v>
      </c>
      <c r="M20" s="234"/>
      <c r="N20" s="234" t="s">
        <v>176</v>
      </c>
      <c r="O20" s="260"/>
      <c r="U20" s="237"/>
    </row>
    <row r="21" spans="5:21" x14ac:dyDescent="0.25">
      <c r="E21" s="1"/>
      <c r="F21" s="1"/>
      <c r="G21" s="258"/>
      <c r="H21" s="8">
        <f>(+$H$20-$H$5)/$H$8</f>
        <v>-49.159604012508744</v>
      </c>
      <c r="I21" s="7"/>
      <c r="J21" s="212"/>
      <c r="M21" s="233">
        <f>+(M20-M6)/M8</f>
        <v>-8.0178372573727312</v>
      </c>
      <c r="O21" s="257"/>
      <c r="R21" s="180"/>
      <c r="U21" s="237"/>
    </row>
    <row r="22" spans="5:21" x14ac:dyDescent="0.25">
      <c r="G22" s="261">
        <v>1.7</v>
      </c>
      <c r="H22" s="1">
        <v>0.05</v>
      </c>
      <c r="I22" s="224"/>
      <c r="J22" s="225">
        <f>NORMSDIST($G$22+$H$22)</f>
        <v>0.95994084313618289</v>
      </c>
      <c r="L22" s="175">
        <f>ABS(TRUNC(M21,1))</f>
        <v>8</v>
      </c>
      <c r="M22" s="175">
        <f>ABS(M21)-L22</f>
        <v>1.783725737273123E-2</v>
      </c>
      <c r="N22" s="224"/>
      <c r="O22" s="262">
        <f>NORMSDIST($L$22+$M$22)</f>
        <v>0.99999999999999944</v>
      </c>
      <c r="U22" s="237"/>
    </row>
    <row r="23" spans="5:21" x14ac:dyDescent="0.25">
      <c r="G23" s="452" t="s">
        <v>179</v>
      </c>
      <c r="H23" s="419"/>
      <c r="I23" s="226">
        <f>1-J22</f>
        <v>4.0059156863817114E-2</v>
      </c>
      <c r="J23" s="213">
        <f>+I23</f>
        <v>4.0059156863817114E-2</v>
      </c>
      <c r="L23" s="419" t="s">
        <v>179</v>
      </c>
      <c r="M23" s="419"/>
      <c r="N23" s="226">
        <f>1-O22</f>
        <v>0</v>
      </c>
      <c r="O23" s="263">
        <f>+N23</f>
        <v>0</v>
      </c>
      <c r="U23" s="237"/>
    </row>
    <row r="24" spans="5:21" x14ac:dyDescent="0.25">
      <c r="G24" s="258"/>
      <c r="O24" s="257"/>
      <c r="U24" s="237"/>
    </row>
    <row r="25" spans="5:21" x14ac:dyDescent="0.25">
      <c r="E25" s="1"/>
      <c r="F25" s="1"/>
      <c r="G25" s="258"/>
      <c r="O25" s="257"/>
      <c r="U25" s="237"/>
    </row>
    <row r="26" spans="5:21" x14ac:dyDescent="0.25">
      <c r="E26" s="1"/>
      <c r="F26" s="1"/>
      <c r="G26" s="258"/>
      <c r="O26" s="257"/>
      <c r="U26" s="237"/>
    </row>
    <row r="27" spans="5:21" x14ac:dyDescent="0.25">
      <c r="E27" s="1"/>
      <c r="F27" s="1"/>
      <c r="G27" s="259" t="s">
        <v>175</v>
      </c>
      <c r="H27" s="215">
        <v>0</v>
      </c>
      <c r="I27" s="215" t="s">
        <v>176</v>
      </c>
      <c r="J27" s="215">
        <v>0</v>
      </c>
      <c r="L27" s="234" t="s">
        <v>175</v>
      </c>
      <c r="M27" s="234"/>
      <c r="N27" s="234" t="s">
        <v>176</v>
      </c>
      <c r="O27" s="260"/>
      <c r="U27" s="237"/>
    </row>
    <row r="28" spans="5:21" x14ac:dyDescent="0.25">
      <c r="E28" s="1"/>
      <c r="F28" s="1"/>
      <c r="G28" s="258"/>
      <c r="H28" s="8">
        <f>(+$H$27-$H$5)/$H$8</f>
        <v>-49.159604012508744</v>
      </c>
      <c r="I28" s="7"/>
      <c r="J28" s="214"/>
      <c r="M28" s="232">
        <f>+(M27-M6)/M8</f>
        <v>-8.0178372573727312</v>
      </c>
      <c r="O28" s="257"/>
      <c r="U28" s="237"/>
    </row>
    <row r="29" spans="5:21" x14ac:dyDescent="0.25">
      <c r="G29" s="258">
        <v>1.7</v>
      </c>
      <c r="H29">
        <v>0.05</v>
      </c>
      <c r="I29" s="224"/>
      <c r="J29" s="225">
        <f>NORMSDIST($G$29+$H$29)</f>
        <v>0.95994084313618289</v>
      </c>
      <c r="L29" s="175">
        <f>ABS(TRUNC(M28,1))</f>
        <v>8</v>
      </c>
      <c r="M29" s="175">
        <f>ABS(M28)-L29</f>
        <v>1.783725737273123E-2</v>
      </c>
      <c r="N29" s="224"/>
      <c r="O29" s="262">
        <f>NORMSDIST($L$29+$M$29)</f>
        <v>0.99999999999999944</v>
      </c>
      <c r="U29" s="237"/>
    </row>
    <row r="30" spans="5:21" x14ac:dyDescent="0.25">
      <c r="G30" s="452" t="s">
        <v>177</v>
      </c>
      <c r="H30" s="419"/>
      <c r="I30" s="226">
        <f>1-J29</f>
        <v>4.0059156863817114E-2</v>
      </c>
      <c r="J30" s="213">
        <f>+I30</f>
        <v>4.0059156863817114E-2</v>
      </c>
      <c r="L30" s="416" t="s">
        <v>177</v>
      </c>
      <c r="M30" s="416"/>
      <c r="N30" s="226">
        <f>1-O29</f>
        <v>0</v>
      </c>
      <c r="O30" s="263">
        <f>+N30</f>
        <v>0</v>
      </c>
      <c r="U30" s="237"/>
    </row>
    <row r="31" spans="5:21" x14ac:dyDescent="0.25">
      <c r="G31" s="258"/>
      <c r="O31" s="257"/>
      <c r="U31" s="237"/>
    </row>
    <row r="32" spans="5:21" x14ac:dyDescent="0.25">
      <c r="F32" s="1"/>
      <c r="G32" s="258"/>
      <c r="O32" s="257"/>
      <c r="U32" s="237"/>
    </row>
    <row r="33" spans="6:21" x14ac:dyDescent="0.25">
      <c r="F33" s="1"/>
      <c r="G33" s="258"/>
      <c r="O33" s="257"/>
      <c r="U33" s="237"/>
    </row>
    <row r="34" spans="6:21" x14ac:dyDescent="0.25">
      <c r="F34" s="1"/>
      <c r="G34" s="259" t="s">
        <v>175</v>
      </c>
      <c r="H34" s="215">
        <v>0</v>
      </c>
      <c r="I34" s="215" t="s">
        <v>176</v>
      </c>
      <c r="J34" s="215">
        <v>0</v>
      </c>
      <c r="L34" s="234" t="s">
        <v>175</v>
      </c>
      <c r="M34" s="234"/>
      <c r="N34" s="234" t="s">
        <v>176</v>
      </c>
      <c r="O34" s="260"/>
      <c r="U34" s="237"/>
    </row>
    <row r="35" spans="6:21" x14ac:dyDescent="0.25">
      <c r="F35" s="1"/>
      <c r="G35" s="259"/>
      <c r="H35" s="215"/>
      <c r="I35" s="215"/>
      <c r="J35" s="215"/>
      <c r="L35" s="224"/>
      <c r="M35" s="224"/>
      <c r="N35" s="224"/>
      <c r="O35" s="264"/>
      <c r="U35" s="237"/>
    </row>
    <row r="36" spans="6:21" x14ac:dyDescent="0.25">
      <c r="F36" s="1"/>
      <c r="G36" s="258"/>
      <c r="H36" s="8">
        <f>(+$H$34-$H$5)/$H$8</f>
        <v>-49.159604012508744</v>
      </c>
      <c r="I36" s="8">
        <f>(+$J$34-$H$5)/$H$8</f>
        <v>-49.159604012508744</v>
      </c>
      <c r="M36" s="233">
        <f>(+M34-M6)/M8</f>
        <v>-8.0178372573727312</v>
      </c>
      <c r="N36" s="233">
        <f>+(O34-M6)/M8</f>
        <v>-8.0178372573727312</v>
      </c>
      <c r="O36" s="257"/>
      <c r="U36" s="237"/>
    </row>
    <row r="37" spans="6:21" x14ac:dyDescent="0.25">
      <c r="G37" s="265"/>
      <c r="H37" s="2">
        <v>1.7</v>
      </c>
      <c r="I37" s="2">
        <v>0.05</v>
      </c>
      <c r="J37" s="225">
        <f>NORMSDIST($H$37+$I$37)</f>
        <v>0.95994084313618289</v>
      </c>
      <c r="L37" s="224"/>
      <c r="M37" s="12">
        <f>ABS(TRUNC(M36,1))</f>
        <v>8</v>
      </c>
      <c r="N37" s="235">
        <f>+N36-M37</f>
        <v>-16.017837257372733</v>
      </c>
      <c r="O37" s="266">
        <f>NORMSDIST($M$37+$N$37)</f>
        <v>5.3811633487603142E-16</v>
      </c>
      <c r="P37" s="9">
        <v>0.60257000000000005</v>
      </c>
      <c r="U37" s="237"/>
    </row>
    <row r="38" spans="6:21" x14ac:dyDescent="0.25">
      <c r="G38" s="267"/>
      <c r="H38" s="2"/>
      <c r="I38" s="2"/>
      <c r="J38" s="225"/>
      <c r="L38" s="224"/>
      <c r="M38" s="12"/>
      <c r="N38" s="12"/>
      <c r="O38" s="268"/>
      <c r="U38" s="237"/>
    </row>
    <row r="39" spans="6:21" x14ac:dyDescent="0.25">
      <c r="G39" s="441" t="s">
        <v>182</v>
      </c>
      <c r="H39" s="425"/>
      <c r="I39" s="425"/>
      <c r="J39" s="213">
        <f>(2*J37)-1</f>
        <v>0.91988168627236577</v>
      </c>
      <c r="L39" s="416" t="s">
        <v>182</v>
      </c>
      <c r="M39" s="416"/>
      <c r="N39" s="416"/>
      <c r="O39" s="263">
        <f>(2*O37)-1</f>
        <v>-0.99999999999999889</v>
      </c>
      <c r="P39">
        <v>0.20513999999999999</v>
      </c>
      <c r="U39" s="237"/>
    </row>
    <row r="40" spans="6:21" x14ac:dyDescent="0.25">
      <c r="G40" s="258"/>
      <c r="O40" s="257"/>
      <c r="U40" s="237"/>
    </row>
    <row r="41" spans="6:21" ht="15.75" thickBot="1" x14ac:dyDescent="0.3">
      <c r="G41" s="442" t="s">
        <v>184</v>
      </c>
      <c r="H41" s="443"/>
      <c r="I41" s="443"/>
      <c r="J41" s="269">
        <f>+J23+J30+J39</f>
        <v>1</v>
      </c>
      <c r="K41" s="270"/>
      <c r="L41" s="443" t="s">
        <v>184</v>
      </c>
      <c r="M41" s="443"/>
      <c r="N41" s="443"/>
      <c r="O41" s="271">
        <f>+O23+O30+O39</f>
        <v>-0.99999999999999889</v>
      </c>
      <c r="U41" s="237"/>
    </row>
    <row r="42" spans="6:21" ht="15.75" thickTop="1" x14ac:dyDescent="0.25"/>
  </sheetData>
  <mergeCells count="58">
    <mergeCell ref="L30:M30"/>
    <mergeCell ref="N8:O8"/>
    <mergeCell ref="S8:T8"/>
    <mergeCell ref="G39:I39"/>
    <mergeCell ref="L39:N39"/>
    <mergeCell ref="G41:I41"/>
    <mergeCell ref="L41:N41"/>
    <mergeCell ref="Q10:T10"/>
    <mergeCell ref="I12:I13"/>
    <mergeCell ref="N14:N15"/>
    <mergeCell ref="N12:N13"/>
    <mergeCell ref="J12:J13"/>
    <mergeCell ref="G17:J17"/>
    <mergeCell ref="L17:O17"/>
    <mergeCell ref="G23:H23"/>
    <mergeCell ref="L23:M23"/>
    <mergeCell ref="G30:H30"/>
    <mergeCell ref="G9:J9"/>
    <mergeCell ref="L9:O9"/>
    <mergeCell ref="Q9:T9"/>
    <mergeCell ref="C6:D6"/>
    <mergeCell ref="E6:F6"/>
    <mergeCell ref="I6:J6"/>
    <mergeCell ref="N6:O6"/>
    <mergeCell ref="S6:T6"/>
    <mergeCell ref="C7:D7"/>
    <mergeCell ref="E7:F7"/>
    <mergeCell ref="I7:J7"/>
    <mergeCell ref="N7:O7"/>
    <mergeCell ref="S7:T7"/>
    <mergeCell ref="C8:D8"/>
    <mergeCell ref="E8:F8"/>
    <mergeCell ref="I8:J8"/>
    <mergeCell ref="C4:D4"/>
    <mergeCell ref="E4:F4"/>
    <mergeCell ref="I4:J4"/>
    <mergeCell ref="N4:O4"/>
    <mergeCell ref="S4:T4"/>
    <mergeCell ref="C5:D5"/>
    <mergeCell ref="E5:F5"/>
    <mergeCell ref="I5:J5"/>
    <mergeCell ref="N5:O5"/>
    <mergeCell ref="S5:T5"/>
    <mergeCell ref="Q2:Q3"/>
    <mergeCell ref="S2:T2"/>
    <mergeCell ref="C3:D3"/>
    <mergeCell ref="E3:F3"/>
    <mergeCell ref="I3:J3"/>
    <mergeCell ref="N3:O3"/>
    <mergeCell ref="S3:T3"/>
    <mergeCell ref="G1:O1"/>
    <mergeCell ref="A2:A3"/>
    <mergeCell ref="C2:D2"/>
    <mergeCell ref="E2:F2"/>
    <mergeCell ref="G2:G3"/>
    <mergeCell ref="I2:J2"/>
    <mergeCell ref="L2:L3"/>
    <mergeCell ref="N2:O2"/>
  </mergeCells>
  <conditionalFormatting sqref="E4:F4">
    <cfRule type="cellIs" dxfId="9" priority="1" operator="greaterThanOrEqual">
      <formula>30</formula>
    </cfRule>
  </conditionalFormatting>
  <conditionalFormatting sqref="P4">
    <cfRule type="cellIs" dxfId="8" priority="3" operator="greaterThanOrEqual">
      <formula>30</formula>
    </cfRule>
  </conditionalFormatting>
  <conditionalFormatting sqref="P6:P8">
    <cfRule type="cellIs" dxfId="7" priority="2" operator="greaterThanOrEqual">
      <formula>5</formula>
    </cfRule>
  </conditionalFormatting>
  <dataValidations count="1">
    <dataValidation type="list" allowBlank="1" showInputMessage="1" showErrorMessage="1" sqref="G39 G23 G30:H30 L23:M23 L30:M30 L39:N39" xr:uid="{784EEC7F-6B37-4B58-A1FA-A01CDCDB6A6B}">
      <formula1>theoreme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EAAB-060B-4278-8035-920B8053CAD0}">
  <sheetPr>
    <tabColor rgb="FFFFFFCC"/>
  </sheetPr>
  <dimension ref="A1:W47"/>
  <sheetViews>
    <sheetView showGridLines="0" zoomScaleNormal="100" workbookViewId="0">
      <selection activeCell="O29" sqref="O29"/>
    </sheetView>
  </sheetViews>
  <sheetFormatPr baseColWidth="10" defaultRowHeight="15" x14ac:dyDescent="0.25"/>
  <cols>
    <col min="2" max="2" width="10.140625" customWidth="1"/>
    <col min="5" max="6" width="5.7109375" customWidth="1"/>
    <col min="7" max="7" width="10.7109375" customWidth="1"/>
    <col min="8" max="8" width="12.42578125" customWidth="1"/>
    <col min="11" max="11" width="5.7109375" customWidth="1"/>
    <col min="16" max="16" width="10.7109375" customWidth="1"/>
    <col min="21" max="21" width="1.28515625" customWidth="1"/>
  </cols>
  <sheetData>
    <row r="1" spans="1:23" ht="15.75" thickBot="1" x14ac:dyDescent="0.3">
      <c r="G1" s="426" t="s">
        <v>185</v>
      </c>
      <c r="H1" s="426"/>
      <c r="I1" s="426"/>
      <c r="J1" s="426"/>
      <c r="K1" s="426"/>
      <c r="L1" s="426"/>
      <c r="M1" s="426"/>
      <c r="N1" s="426"/>
      <c r="O1" s="426"/>
      <c r="U1" s="237"/>
    </row>
    <row r="2" spans="1:23" ht="15.75" thickTop="1" x14ac:dyDescent="0.25">
      <c r="A2" s="427" t="s">
        <v>164</v>
      </c>
      <c r="B2" s="194"/>
      <c r="C2" s="324" t="s">
        <v>160</v>
      </c>
      <c r="D2" s="325"/>
      <c r="E2" s="422"/>
      <c r="F2" s="423"/>
      <c r="G2" s="427" t="s">
        <v>172</v>
      </c>
      <c r="H2" s="194"/>
      <c r="I2" s="324" t="s">
        <v>159</v>
      </c>
      <c r="J2" s="325"/>
      <c r="K2" s="203"/>
      <c r="L2" s="427" t="s">
        <v>172</v>
      </c>
      <c r="M2" s="194"/>
      <c r="N2" s="324" t="s">
        <v>159</v>
      </c>
      <c r="O2" s="325"/>
      <c r="P2" s="210"/>
      <c r="Q2" s="427" t="s">
        <v>164</v>
      </c>
      <c r="R2" s="194"/>
      <c r="S2" s="324" t="s">
        <v>160</v>
      </c>
      <c r="T2" s="325"/>
      <c r="U2" s="237"/>
      <c r="V2" s="220" t="s">
        <v>183</v>
      </c>
      <c r="W2" s="221"/>
    </row>
    <row r="3" spans="1:23" x14ac:dyDescent="0.25">
      <c r="A3" s="428"/>
      <c r="B3" s="195"/>
      <c r="C3" s="430" t="s">
        <v>170</v>
      </c>
      <c r="D3" s="431"/>
      <c r="E3" s="422"/>
      <c r="F3" s="423"/>
      <c r="G3" s="428"/>
      <c r="H3" s="195"/>
      <c r="I3" s="430" t="s">
        <v>171</v>
      </c>
      <c r="J3" s="431"/>
      <c r="K3" s="205"/>
      <c r="L3" s="428"/>
      <c r="M3" s="195"/>
      <c r="N3" s="430" t="s">
        <v>171</v>
      </c>
      <c r="O3" s="431"/>
      <c r="P3" s="210"/>
      <c r="Q3" s="428"/>
      <c r="R3" s="195"/>
      <c r="S3" s="430" t="s">
        <v>170</v>
      </c>
      <c r="T3" s="431"/>
      <c r="U3" s="237"/>
      <c r="V3" s="216" t="s">
        <v>177</v>
      </c>
      <c r="W3" s="217"/>
    </row>
    <row r="4" spans="1:23" x14ac:dyDescent="0.25">
      <c r="A4" s="115" t="s">
        <v>126</v>
      </c>
      <c r="B4" s="199">
        <v>100</v>
      </c>
      <c r="C4" s="432" t="s">
        <v>163</v>
      </c>
      <c r="D4" s="433"/>
      <c r="E4" s="437">
        <f>+B4</f>
        <v>100</v>
      </c>
      <c r="F4" s="423"/>
      <c r="G4" s="115" t="s">
        <v>11</v>
      </c>
      <c r="H4" s="199"/>
      <c r="I4" s="432" t="s">
        <v>163</v>
      </c>
      <c r="J4" s="433"/>
      <c r="K4" s="206"/>
      <c r="L4" s="115" t="s">
        <v>11</v>
      </c>
      <c r="M4" s="199"/>
      <c r="N4" s="432" t="s">
        <v>163</v>
      </c>
      <c r="O4" s="433"/>
      <c r="P4" s="232">
        <f>+R4</f>
        <v>100</v>
      </c>
      <c r="Q4" s="115" t="s">
        <v>126</v>
      </c>
      <c r="R4" s="199">
        <v>100</v>
      </c>
      <c r="S4" s="432" t="s">
        <v>163</v>
      </c>
      <c r="T4" s="433"/>
      <c r="U4" s="237"/>
      <c r="V4" s="216" t="s">
        <v>178</v>
      </c>
      <c r="W4" s="217"/>
    </row>
    <row r="5" spans="1:23" x14ac:dyDescent="0.25">
      <c r="A5" s="115" t="s">
        <v>162</v>
      </c>
      <c r="B5" s="199">
        <v>12</v>
      </c>
      <c r="C5" s="432" t="s">
        <v>110</v>
      </c>
      <c r="D5" s="433"/>
      <c r="E5" s="422"/>
      <c r="F5" s="423"/>
      <c r="G5" s="115" t="s">
        <v>161</v>
      </c>
      <c r="H5" s="199"/>
      <c r="I5" s="432" t="s">
        <v>110</v>
      </c>
      <c r="J5" s="433"/>
      <c r="K5" s="206"/>
      <c r="L5" s="115" t="s">
        <v>161</v>
      </c>
      <c r="M5" s="199"/>
      <c r="N5" s="432" t="s">
        <v>110</v>
      </c>
      <c r="O5" s="433"/>
      <c r="P5" s="210"/>
      <c r="Q5" s="115" t="s">
        <v>162</v>
      </c>
      <c r="R5" s="199">
        <v>158</v>
      </c>
      <c r="S5" s="432" t="s">
        <v>110</v>
      </c>
      <c r="T5" s="433"/>
      <c r="U5" s="237"/>
      <c r="V5" s="216" t="s">
        <v>179</v>
      </c>
      <c r="W5" s="217"/>
    </row>
    <row r="6" spans="1:23" x14ac:dyDescent="0.25">
      <c r="A6" s="115" t="s">
        <v>166</v>
      </c>
      <c r="B6" s="199"/>
      <c r="C6" s="432" t="s">
        <v>165</v>
      </c>
      <c r="D6" s="433"/>
      <c r="E6" s="422"/>
      <c r="F6" s="423"/>
      <c r="G6" s="115" t="s">
        <v>127</v>
      </c>
      <c r="H6" s="199"/>
      <c r="I6" s="432" t="s">
        <v>165</v>
      </c>
      <c r="J6" s="433"/>
      <c r="K6" s="206"/>
      <c r="L6" s="115" t="s">
        <v>127</v>
      </c>
      <c r="M6" s="199"/>
      <c r="N6" s="432" t="s">
        <v>165</v>
      </c>
      <c r="O6" s="433"/>
      <c r="P6" s="210">
        <f>+R4*R6</f>
        <v>0</v>
      </c>
      <c r="Q6" s="115" t="s">
        <v>166</v>
      </c>
      <c r="R6" s="199"/>
      <c r="S6" s="432" t="s">
        <v>165</v>
      </c>
      <c r="T6" s="433"/>
      <c r="U6" s="237"/>
      <c r="V6" s="216" t="s">
        <v>180</v>
      </c>
      <c r="W6" s="217"/>
    </row>
    <row r="7" spans="1:23" x14ac:dyDescent="0.25">
      <c r="A7" s="197" t="s">
        <v>169</v>
      </c>
      <c r="B7" s="241"/>
      <c r="C7" s="414"/>
      <c r="D7" s="415"/>
      <c r="E7" s="422"/>
      <c r="F7" s="423"/>
      <c r="G7" s="197" t="s">
        <v>128</v>
      </c>
      <c r="H7" s="241"/>
      <c r="I7" s="414"/>
      <c r="J7" s="415"/>
      <c r="K7" s="206"/>
      <c r="L7" s="197" t="s">
        <v>128</v>
      </c>
      <c r="M7" s="241"/>
      <c r="N7" s="414" t="s">
        <v>187</v>
      </c>
      <c r="O7" s="415"/>
      <c r="P7" s="210">
        <f>+R4*R7</f>
        <v>0</v>
      </c>
      <c r="Q7" s="197" t="s">
        <v>169</v>
      </c>
      <c r="R7" s="241"/>
      <c r="S7" s="414" t="s">
        <v>186</v>
      </c>
      <c r="T7" s="415"/>
      <c r="U7" s="237"/>
      <c r="V7" s="216" t="s">
        <v>181</v>
      </c>
      <c r="W7" s="217"/>
    </row>
    <row r="8" spans="1:23" ht="15.75" thickBot="1" x14ac:dyDescent="0.3">
      <c r="A8" s="58"/>
      <c r="B8" s="201"/>
      <c r="C8" s="417" t="s">
        <v>133</v>
      </c>
      <c r="D8" s="418"/>
      <c r="E8" s="422"/>
      <c r="F8" s="423"/>
      <c r="G8" s="58"/>
      <c r="H8" s="272">
        <v>0.15</v>
      </c>
      <c r="I8" s="417" t="s">
        <v>190</v>
      </c>
      <c r="J8" s="418"/>
      <c r="K8" s="204"/>
      <c r="L8" s="58"/>
      <c r="M8" s="249"/>
      <c r="N8" s="417" t="s">
        <v>133</v>
      </c>
      <c r="O8" s="418"/>
      <c r="P8" s="210">
        <f>+R4*R6*R7</f>
        <v>0</v>
      </c>
      <c r="Q8" s="58"/>
      <c r="R8" s="201">
        <v>30</v>
      </c>
      <c r="S8" s="417" t="s">
        <v>133</v>
      </c>
      <c r="T8" s="418"/>
      <c r="U8" s="237"/>
      <c r="V8" s="218" t="s">
        <v>182</v>
      </c>
      <c r="W8" s="219"/>
    </row>
    <row r="9" spans="1:23" ht="15.75" thickTop="1" x14ac:dyDescent="0.25">
      <c r="A9" s="457" t="s">
        <v>194</v>
      </c>
      <c r="B9" s="457"/>
      <c r="C9" s="457"/>
      <c r="D9" s="457"/>
      <c r="G9" s="438" t="s">
        <v>209</v>
      </c>
      <c r="H9" s="434"/>
      <c r="I9" s="434"/>
      <c r="J9" s="439"/>
      <c r="L9" s="438" t="s">
        <v>210</v>
      </c>
      <c r="M9" s="434"/>
      <c r="N9" s="434"/>
      <c r="O9" s="439"/>
      <c r="Q9" s="440" t="s">
        <v>194</v>
      </c>
      <c r="R9" s="440"/>
      <c r="S9" s="440"/>
      <c r="T9" s="440"/>
      <c r="U9" s="237"/>
    </row>
    <row r="10" spans="1:23" s="6" customFormat="1" x14ac:dyDescent="0.25">
      <c r="A10" s="7"/>
      <c r="B10" s="7"/>
      <c r="C10" s="7"/>
      <c r="D10" s="7"/>
      <c r="G10" s="284"/>
      <c r="H10" s="285"/>
      <c r="I10" s="285" t="s">
        <v>200</v>
      </c>
      <c r="J10" s="286" t="s">
        <v>201</v>
      </c>
      <c r="L10" s="284"/>
      <c r="M10" s="285"/>
      <c r="N10" s="285" t="s">
        <v>200</v>
      </c>
      <c r="O10" s="286" t="s">
        <v>201</v>
      </c>
      <c r="P10"/>
      <c r="Q10" s="285"/>
      <c r="R10" s="285"/>
      <c r="S10" s="285"/>
      <c r="T10" s="285"/>
    </row>
    <row r="11" spans="1:23" x14ac:dyDescent="0.25">
      <c r="G11" s="455" t="s">
        <v>195</v>
      </c>
      <c r="H11" s="319"/>
      <c r="I11" s="12">
        <v>0.95</v>
      </c>
      <c r="J11" s="274">
        <f>1-I11</f>
        <v>5.0000000000000044E-2</v>
      </c>
      <c r="L11" s="455" t="s">
        <v>195</v>
      </c>
      <c r="M11" s="319"/>
      <c r="N11" s="12">
        <v>0.99</v>
      </c>
      <c r="O11" s="274">
        <f>1-N11</f>
        <v>1.0000000000000009E-2</v>
      </c>
      <c r="Q11" s="319"/>
      <c r="R11" s="319"/>
      <c r="S11" s="319"/>
      <c r="T11" s="319"/>
      <c r="U11" s="237"/>
    </row>
    <row r="12" spans="1:23" x14ac:dyDescent="0.25">
      <c r="G12" s="456"/>
      <c r="H12" s="318"/>
      <c r="J12" s="252"/>
      <c r="L12" s="456"/>
      <c r="M12" s="318"/>
      <c r="O12" s="252"/>
      <c r="U12" s="237"/>
    </row>
    <row r="13" spans="1:23" ht="15" customHeight="1" x14ac:dyDescent="0.25">
      <c r="G13" s="245"/>
      <c r="J13" s="252"/>
      <c r="L13" s="245"/>
      <c r="O13" s="252"/>
      <c r="U13" s="237"/>
    </row>
    <row r="14" spans="1:23" ht="15" customHeight="1" x14ac:dyDescent="0.25">
      <c r="G14" s="458" t="s">
        <v>196</v>
      </c>
      <c r="H14" s="346"/>
      <c r="J14" s="276">
        <f>+H8/SQRT(B4)</f>
        <v>1.4999999999999999E-2</v>
      </c>
      <c r="L14" s="346" t="s">
        <v>211</v>
      </c>
      <c r="M14" s="346"/>
      <c r="O14" s="51">
        <f>+R8*(SQRT(R4/(R4-1)))</f>
        <v>30.151134457776362</v>
      </c>
      <c r="U14" s="237"/>
    </row>
    <row r="15" spans="1:23" s="6" customFormat="1" ht="15" customHeight="1" x14ac:dyDescent="0.25">
      <c r="A15"/>
      <c r="B15"/>
      <c r="C15"/>
      <c r="D15"/>
      <c r="G15" s="277"/>
      <c r="H15" s="7"/>
      <c r="J15" s="275"/>
      <c r="L15"/>
      <c r="M15"/>
      <c r="N15"/>
      <c r="O15"/>
      <c r="P15"/>
    </row>
    <row r="16" spans="1:23" ht="15" customHeight="1" x14ac:dyDescent="0.25">
      <c r="G16" s="453"/>
      <c r="H16" s="454"/>
      <c r="I16" s="4">
        <f>+I11</f>
        <v>0.95</v>
      </c>
      <c r="J16" s="278" t="s">
        <v>212</v>
      </c>
      <c r="L16" s="453"/>
      <c r="M16" s="454"/>
      <c r="N16" s="4">
        <f>+N11</f>
        <v>0.99</v>
      </c>
      <c r="O16" s="278" t="s">
        <v>212</v>
      </c>
      <c r="U16" s="237"/>
    </row>
    <row r="17" spans="7:21" ht="15.75" customHeight="1" x14ac:dyDescent="0.25">
      <c r="G17" s="453"/>
      <c r="H17" s="454"/>
      <c r="I17" s="4">
        <f>1+I16</f>
        <v>1.95</v>
      </c>
      <c r="J17" s="275"/>
      <c r="L17" s="453"/>
      <c r="M17" s="454"/>
      <c r="N17" s="4">
        <f>1+N16</f>
        <v>1.99</v>
      </c>
      <c r="O17" s="275"/>
      <c r="U17" s="237"/>
    </row>
    <row r="18" spans="7:21" ht="15.75" customHeight="1" x14ac:dyDescent="0.25">
      <c r="G18" s="453"/>
      <c r="H18" s="454"/>
      <c r="I18" s="4">
        <f>+I17/2</f>
        <v>0.97499999999999998</v>
      </c>
      <c r="J18" s="252"/>
      <c r="L18" s="453"/>
      <c r="M18" s="454"/>
      <c r="N18" s="4">
        <f>+N17/2</f>
        <v>0.995</v>
      </c>
      <c r="O18" s="252"/>
      <c r="U18" s="237"/>
    </row>
    <row r="19" spans="7:21" ht="15.75" customHeight="1" x14ac:dyDescent="0.25">
      <c r="G19" s="245"/>
      <c r="J19" s="252"/>
      <c r="L19" s="245"/>
      <c r="O19" s="252"/>
      <c r="U19" s="237"/>
    </row>
    <row r="20" spans="7:21" ht="15.75" customHeight="1" x14ac:dyDescent="0.25">
      <c r="G20" s="245"/>
      <c r="H20" s="279">
        <f>+I18</f>
        <v>0.97499999999999998</v>
      </c>
      <c r="I20" s="3" t="s">
        <v>197</v>
      </c>
      <c r="J20" s="276">
        <v>1.96</v>
      </c>
      <c r="L20" s="245"/>
      <c r="M20" s="279">
        <f>+N18</f>
        <v>0.995</v>
      </c>
      <c r="N20" s="3" t="s">
        <v>197</v>
      </c>
      <c r="O20" s="276">
        <v>2.58</v>
      </c>
      <c r="U20" s="237"/>
    </row>
    <row r="21" spans="7:21" ht="15.75" customHeight="1" thickBot="1" x14ac:dyDescent="0.3">
      <c r="G21" s="280" t="s">
        <v>198</v>
      </c>
      <c r="H21" s="281"/>
      <c r="I21" s="282">
        <f>+B5-(J20*J14)</f>
        <v>11.970599999999999</v>
      </c>
      <c r="J21" s="283">
        <f>+B5+(J20*K14)</f>
        <v>12</v>
      </c>
      <c r="L21" s="280" t="s">
        <v>198</v>
      </c>
      <c r="M21" s="281"/>
      <c r="N21" s="282">
        <f>+R5-O20*(O14/SQRT(R4))</f>
        <v>150.22100730989371</v>
      </c>
      <c r="O21" s="282">
        <f>+R5+O20*(O14/SQRT(R4))</f>
        <v>165.77899269010629</v>
      </c>
      <c r="U21" s="237"/>
    </row>
    <row r="22" spans="7:21" ht="15.75" customHeight="1" thickTop="1" x14ac:dyDescent="0.25">
      <c r="G22" s="438" t="s">
        <v>202</v>
      </c>
      <c r="H22" s="434"/>
      <c r="I22" s="434"/>
      <c r="J22" s="439"/>
      <c r="U22" s="237"/>
    </row>
    <row r="23" spans="7:21" ht="15.75" customHeight="1" x14ac:dyDescent="0.25">
      <c r="G23" s="288"/>
      <c r="H23" s="6"/>
      <c r="I23" s="285" t="s">
        <v>200</v>
      </c>
      <c r="J23" s="286" t="s">
        <v>201</v>
      </c>
      <c r="L23" s="465" t="s">
        <v>213</v>
      </c>
      <c r="M23" s="465"/>
      <c r="N23" s="465"/>
      <c r="O23" s="465"/>
      <c r="U23" s="237"/>
    </row>
    <row r="24" spans="7:21" x14ac:dyDescent="0.25">
      <c r="G24" s="455" t="s">
        <v>199</v>
      </c>
      <c r="H24" s="319"/>
      <c r="I24" s="4">
        <f>1-J24</f>
        <v>0.99</v>
      </c>
      <c r="J24" s="287">
        <v>0.01</v>
      </c>
    </row>
    <row r="25" spans="7:21" x14ac:dyDescent="0.25">
      <c r="G25" s="456"/>
      <c r="H25" s="318"/>
      <c r="J25" s="252"/>
    </row>
    <row r="26" spans="7:21" x14ac:dyDescent="0.25">
      <c r="G26" s="245"/>
      <c r="J26" s="252"/>
    </row>
    <row r="27" spans="7:21" x14ac:dyDescent="0.25">
      <c r="G27" s="458" t="s">
        <v>196</v>
      </c>
      <c r="H27" s="346"/>
      <c r="J27" s="276">
        <f>+$H$8/SQRT($B$4)</f>
        <v>1.4999999999999999E-2</v>
      </c>
    </row>
    <row r="28" spans="7:21" x14ac:dyDescent="0.25">
      <c r="G28" s="277"/>
      <c r="H28" s="7"/>
      <c r="I28" s="6"/>
      <c r="J28" s="275"/>
    </row>
    <row r="29" spans="7:21" x14ac:dyDescent="0.25">
      <c r="G29" s="453"/>
      <c r="H29" s="454"/>
      <c r="I29" s="4">
        <f>+I24</f>
        <v>0.99</v>
      </c>
      <c r="J29" s="278" t="s">
        <v>195</v>
      </c>
    </row>
    <row r="30" spans="7:21" x14ac:dyDescent="0.25">
      <c r="G30" s="453"/>
      <c r="H30" s="454"/>
      <c r="I30" s="4">
        <f>1+I29</f>
        <v>1.99</v>
      </c>
      <c r="J30" s="275"/>
    </row>
    <row r="31" spans="7:21" x14ac:dyDescent="0.25">
      <c r="G31" s="453"/>
      <c r="H31" s="454"/>
      <c r="I31" s="4">
        <f>+I30/2</f>
        <v>0.995</v>
      </c>
      <c r="J31" s="252"/>
    </row>
    <row r="32" spans="7:21" x14ac:dyDescent="0.25">
      <c r="G32" s="245"/>
      <c r="J32" s="252"/>
    </row>
    <row r="33" spans="7:10" x14ac:dyDescent="0.25">
      <c r="G33" s="245"/>
      <c r="H33" s="279">
        <f>+I31</f>
        <v>0.995</v>
      </c>
      <c r="I33" s="3" t="s">
        <v>197</v>
      </c>
      <c r="J33" s="276">
        <v>2.58</v>
      </c>
    </row>
    <row r="34" spans="7:10" ht="15.75" thickBot="1" x14ac:dyDescent="0.3">
      <c r="G34" s="280" t="s">
        <v>198</v>
      </c>
      <c r="H34" s="281"/>
      <c r="I34" s="282">
        <f>+B5-(J33*J27)</f>
        <v>11.9613</v>
      </c>
      <c r="J34" s="283">
        <f>+B5+(J33*J27)</f>
        <v>12.0387</v>
      </c>
    </row>
    <row r="35" spans="7:10" ht="15.75" thickTop="1" x14ac:dyDescent="0.25">
      <c r="G35" s="462" t="s">
        <v>208</v>
      </c>
      <c r="H35" s="463"/>
      <c r="I35" s="463"/>
      <c r="J35" s="464"/>
    </row>
    <row r="36" spans="7:10" x14ac:dyDescent="0.25">
      <c r="G36" s="456"/>
      <c r="H36" s="318"/>
      <c r="J36" s="289">
        <v>0.03</v>
      </c>
    </row>
    <row r="37" spans="7:10" x14ac:dyDescent="0.25">
      <c r="G37" s="245"/>
      <c r="J37" s="252"/>
    </row>
    <row r="38" spans="7:10" x14ac:dyDescent="0.25">
      <c r="G38" s="245"/>
      <c r="J38" s="252"/>
    </row>
    <row r="39" spans="7:10" x14ac:dyDescent="0.25">
      <c r="G39" s="245"/>
      <c r="J39" s="252"/>
    </row>
    <row r="40" spans="7:10" x14ac:dyDescent="0.25">
      <c r="G40" s="245"/>
      <c r="J40" s="252"/>
    </row>
    <row r="41" spans="7:10" x14ac:dyDescent="0.25">
      <c r="G41" s="459" t="s">
        <v>203</v>
      </c>
      <c r="H41" s="318"/>
      <c r="I41" s="460" t="s">
        <v>204</v>
      </c>
      <c r="J41" s="461"/>
    </row>
    <row r="42" spans="7:10" x14ac:dyDescent="0.25">
      <c r="G42" s="273">
        <f>+((B5-J36)-B5)/H8</f>
        <v>-0.19999999999999574</v>
      </c>
      <c r="I42" s="4">
        <f>+((B5+J36)-B5)/H8</f>
        <v>0.19999999999999574</v>
      </c>
      <c r="J42" s="252"/>
    </row>
    <row r="43" spans="7:10" x14ac:dyDescent="0.25">
      <c r="G43" s="453" t="s">
        <v>205</v>
      </c>
      <c r="H43" s="454"/>
      <c r="I43" s="454"/>
      <c r="J43" s="289">
        <v>0.99</v>
      </c>
    </row>
    <row r="44" spans="7:10" x14ac:dyDescent="0.25">
      <c r="G44" s="245" t="s">
        <v>206</v>
      </c>
      <c r="H44">
        <v>0.995</v>
      </c>
      <c r="I44" t="s">
        <v>207</v>
      </c>
      <c r="J44" s="290">
        <v>2.58</v>
      </c>
    </row>
    <row r="45" spans="7:10" x14ac:dyDescent="0.25">
      <c r="G45" s="245"/>
      <c r="H45">
        <f>+J44/0.2</f>
        <v>12.9</v>
      </c>
      <c r="J45" s="252"/>
    </row>
    <row r="46" spans="7:10" ht="15.75" thickBot="1" x14ac:dyDescent="0.3">
      <c r="G46" s="291" t="s">
        <v>126</v>
      </c>
      <c r="H46" s="292">
        <f>+H45^2</f>
        <v>166.41</v>
      </c>
      <c r="I46" s="281">
        <v>167</v>
      </c>
      <c r="J46" s="133"/>
    </row>
    <row r="47" spans="7:10" ht="15.75" thickTop="1" x14ac:dyDescent="0.25"/>
  </sheetData>
  <mergeCells count="70">
    <mergeCell ref="L18:M18"/>
    <mergeCell ref="L23:O23"/>
    <mergeCell ref="G36:H36"/>
    <mergeCell ref="G43:I43"/>
    <mergeCell ref="G41:H41"/>
    <mergeCell ref="I41:J41"/>
    <mergeCell ref="G35:J35"/>
    <mergeCell ref="A9:D9"/>
    <mergeCell ref="G11:H11"/>
    <mergeCell ref="G12:H12"/>
    <mergeCell ref="G14:H14"/>
    <mergeCell ref="G16:H16"/>
    <mergeCell ref="G9:J9"/>
    <mergeCell ref="S8:T8"/>
    <mergeCell ref="G17:H17"/>
    <mergeCell ref="G31:H31"/>
    <mergeCell ref="Q11:T11"/>
    <mergeCell ref="G18:H18"/>
    <mergeCell ref="L11:M11"/>
    <mergeCell ref="L12:M12"/>
    <mergeCell ref="G22:J22"/>
    <mergeCell ref="G24:H24"/>
    <mergeCell ref="G25:H25"/>
    <mergeCell ref="G27:H27"/>
    <mergeCell ref="G29:H29"/>
    <mergeCell ref="G30:H30"/>
    <mergeCell ref="L14:M14"/>
    <mergeCell ref="L16:M16"/>
    <mergeCell ref="L17:M17"/>
    <mergeCell ref="L9:O9"/>
    <mergeCell ref="Q9:T9"/>
    <mergeCell ref="C6:D6"/>
    <mergeCell ref="E6:F6"/>
    <mergeCell ref="I6:J6"/>
    <mergeCell ref="N6:O6"/>
    <mergeCell ref="S6:T6"/>
    <mergeCell ref="C7:D7"/>
    <mergeCell ref="E7:F7"/>
    <mergeCell ref="I7:J7"/>
    <mergeCell ref="N7:O7"/>
    <mergeCell ref="S7:T7"/>
    <mergeCell ref="C8:D8"/>
    <mergeCell ref="E8:F8"/>
    <mergeCell ref="I8:J8"/>
    <mergeCell ref="N8:O8"/>
    <mergeCell ref="C4:D4"/>
    <mergeCell ref="E4:F4"/>
    <mergeCell ref="I4:J4"/>
    <mergeCell ref="N4:O4"/>
    <mergeCell ref="S4:T4"/>
    <mergeCell ref="C5:D5"/>
    <mergeCell ref="E5:F5"/>
    <mergeCell ref="I5:J5"/>
    <mergeCell ref="N5:O5"/>
    <mergeCell ref="S5:T5"/>
    <mergeCell ref="Q2:Q3"/>
    <mergeCell ref="S2:T2"/>
    <mergeCell ref="C3:D3"/>
    <mergeCell ref="E3:F3"/>
    <mergeCell ref="I3:J3"/>
    <mergeCell ref="N3:O3"/>
    <mergeCell ref="S3:T3"/>
    <mergeCell ref="G1:O1"/>
    <mergeCell ref="A2:A3"/>
    <mergeCell ref="C2:D2"/>
    <mergeCell ref="E2:F2"/>
    <mergeCell ref="G2:G3"/>
    <mergeCell ref="I2:J2"/>
    <mergeCell ref="L2:L3"/>
    <mergeCell ref="N2:O2"/>
  </mergeCells>
  <conditionalFormatting sqref="E4:F4">
    <cfRule type="cellIs" dxfId="6" priority="1" operator="greaterThanOrEqual">
      <formula>30</formula>
    </cfRule>
  </conditionalFormatting>
  <conditionalFormatting sqref="P4">
    <cfRule type="cellIs" dxfId="5" priority="3" operator="greaterThanOrEqual">
      <formula>30</formula>
    </cfRule>
  </conditionalFormatting>
  <conditionalFormatting sqref="P6:P8">
    <cfRule type="cellIs" dxfId="4" priority="2" operator="greaterThanOrEqual">
      <formula>5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ABA5-9C65-452C-8C6C-902F51ABD175}">
  <sheetPr>
    <tabColor rgb="FFCCFF66"/>
  </sheetPr>
  <dimension ref="A1:W47"/>
  <sheetViews>
    <sheetView topLeftCell="A32" zoomScale="160" zoomScaleNormal="160" workbookViewId="0">
      <selection activeCell="J43" sqref="J43"/>
    </sheetView>
  </sheetViews>
  <sheetFormatPr baseColWidth="10" defaultRowHeight="15" x14ac:dyDescent="0.25"/>
  <cols>
    <col min="2" max="2" width="10.140625" customWidth="1"/>
    <col min="5" max="6" width="5.7109375" customWidth="1"/>
    <col min="7" max="7" width="10.7109375" customWidth="1"/>
    <col min="8" max="8" width="12.42578125" customWidth="1"/>
    <col min="11" max="11" width="5.7109375" customWidth="1"/>
    <col min="16" max="16" width="10.7109375" customWidth="1"/>
    <col min="21" max="21" width="1.28515625" customWidth="1"/>
  </cols>
  <sheetData>
    <row r="1" spans="1:23" ht="15.75" thickBot="1" x14ac:dyDescent="0.3">
      <c r="G1" s="426" t="s">
        <v>185</v>
      </c>
      <c r="H1" s="426"/>
      <c r="I1" s="426"/>
      <c r="J1" s="426"/>
      <c r="K1" s="426"/>
      <c r="L1" s="426"/>
      <c r="M1" s="426"/>
      <c r="N1" s="426"/>
      <c r="O1" s="426"/>
      <c r="U1" s="237"/>
    </row>
    <row r="2" spans="1:23" ht="15.75" thickTop="1" x14ac:dyDescent="0.25">
      <c r="A2" s="427" t="s">
        <v>164</v>
      </c>
      <c r="B2" s="194"/>
      <c r="C2" s="324" t="s">
        <v>160</v>
      </c>
      <c r="D2" s="325"/>
      <c r="E2" s="422"/>
      <c r="F2" s="423"/>
      <c r="G2" s="427" t="s">
        <v>172</v>
      </c>
      <c r="H2" s="194"/>
      <c r="I2" s="324" t="s">
        <v>159</v>
      </c>
      <c r="J2" s="325"/>
      <c r="K2" s="203"/>
      <c r="L2" s="427" t="s">
        <v>172</v>
      </c>
      <c r="M2" s="194"/>
      <c r="N2" s="324" t="s">
        <v>159</v>
      </c>
      <c r="O2" s="325"/>
      <c r="P2" s="210"/>
      <c r="Q2" s="427" t="s">
        <v>164</v>
      </c>
      <c r="R2" s="194"/>
      <c r="S2" s="324" t="s">
        <v>160</v>
      </c>
      <c r="T2" s="325"/>
      <c r="U2" s="237"/>
      <c r="V2" s="220" t="s">
        <v>183</v>
      </c>
      <c r="W2" s="221"/>
    </row>
    <row r="3" spans="1:23" x14ac:dyDescent="0.25">
      <c r="A3" s="428"/>
      <c r="B3" s="195"/>
      <c r="C3" s="430" t="s">
        <v>170</v>
      </c>
      <c r="D3" s="431"/>
      <c r="E3" s="422"/>
      <c r="F3" s="423"/>
      <c r="G3" s="428"/>
      <c r="H3" s="195"/>
      <c r="I3" s="430" t="s">
        <v>171</v>
      </c>
      <c r="J3" s="431"/>
      <c r="K3" s="205"/>
      <c r="L3" s="428"/>
      <c r="M3" s="195"/>
      <c r="N3" s="430" t="s">
        <v>171</v>
      </c>
      <c r="O3" s="431"/>
      <c r="P3" s="210"/>
      <c r="Q3" s="428"/>
      <c r="R3" s="195"/>
      <c r="S3" s="430" t="s">
        <v>170</v>
      </c>
      <c r="T3" s="431"/>
      <c r="U3" s="237"/>
      <c r="V3" s="216" t="s">
        <v>177</v>
      </c>
      <c r="W3" s="217"/>
    </row>
    <row r="4" spans="1:23" x14ac:dyDescent="0.25">
      <c r="A4" s="115" t="s">
        <v>126</v>
      </c>
      <c r="B4" s="199">
        <v>200</v>
      </c>
      <c r="C4" s="432" t="s">
        <v>163</v>
      </c>
      <c r="D4" s="433"/>
      <c r="E4" s="437">
        <f>+B4</f>
        <v>200</v>
      </c>
      <c r="F4" s="423"/>
      <c r="G4" s="115" t="s">
        <v>11</v>
      </c>
      <c r="H4" s="199"/>
      <c r="I4" s="432" t="s">
        <v>163</v>
      </c>
      <c r="J4" s="433"/>
      <c r="K4" s="206"/>
      <c r="L4" s="115" t="s">
        <v>11</v>
      </c>
      <c r="M4" s="199"/>
      <c r="N4" s="432" t="s">
        <v>163</v>
      </c>
      <c r="O4" s="433"/>
      <c r="P4" s="232">
        <f>+R4</f>
        <v>0</v>
      </c>
      <c r="Q4" s="115" t="s">
        <v>126</v>
      </c>
      <c r="R4" s="199"/>
      <c r="S4" s="432" t="s">
        <v>163</v>
      </c>
      <c r="T4" s="433"/>
      <c r="U4" s="237"/>
      <c r="V4" s="216" t="s">
        <v>178</v>
      </c>
      <c r="W4" s="217"/>
    </row>
    <row r="5" spans="1:23" x14ac:dyDescent="0.25">
      <c r="A5" s="115" t="s">
        <v>162</v>
      </c>
      <c r="B5" s="199"/>
      <c r="C5" s="432" t="s">
        <v>110</v>
      </c>
      <c r="D5" s="433"/>
      <c r="E5" s="422"/>
      <c r="F5" s="423"/>
      <c r="G5" s="115" t="s">
        <v>161</v>
      </c>
      <c r="H5" s="199"/>
      <c r="I5" s="432" t="s">
        <v>110</v>
      </c>
      <c r="J5" s="433"/>
      <c r="K5" s="206"/>
      <c r="L5" s="115" t="s">
        <v>161</v>
      </c>
      <c r="M5" s="199"/>
      <c r="N5" s="432" t="s">
        <v>110</v>
      </c>
      <c r="O5" s="433"/>
      <c r="P5" s="210"/>
      <c r="Q5" s="115" t="s">
        <v>162</v>
      </c>
      <c r="R5" s="199"/>
      <c r="S5" s="432" t="s">
        <v>110</v>
      </c>
      <c r="T5" s="433"/>
      <c r="U5" s="237"/>
      <c r="V5" s="216" t="s">
        <v>179</v>
      </c>
      <c r="W5" s="217"/>
    </row>
    <row r="6" spans="1:23" x14ac:dyDescent="0.25">
      <c r="A6" s="115" t="s">
        <v>166</v>
      </c>
      <c r="B6" s="199">
        <v>0.7</v>
      </c>
      <c r="C6" s="432" t="s">
        <v>165</v>
      </c>
      <c r="D6" s="433"/>
      <c r="E6" s="422">
        <f>+B4*B6</f>
        <v>140</v>
      </c>
      <c r="F6" s="423"/>
      <c r="G6" s="115" t="s">
        <v>127</v>
      </c>
      <c r="H6" s="196">
        <f>+B6</f>
        <v>0.7</v>
      </c>
      <c r="I6" s="432" t="s">
        <v>165</v>
      </c>
      <c r="J6" s="433"/>
      <c r="K6" s="206"/>
      <c r="L6" s="115" t="s">
        <v>127</v>
      </c>
      <c r="M6" s="199"/>
      <c r="N6" s="432" t="s">
        <v>165</v>
      </c>
      <c r="O6" s="433"/>
      <c r="P6" s="210">
        <f>+R4*R6</f>
        <v>0</v>
      </c>
      <c r="Q6" s="115" t="s">
        <v>166</v>
      </c>
      <c r="R6" s="199"/>
      <c r="S6" s="432" t="s">
        <v>165</v>
      </c>
      <c r="T6" s="433"/>
      <c r="U6" s="237"/>
      <c r="V6" s="216" t="s">
        <v>180</v>
      </c>
      <c r="W6" s="217"/>
    </row>
    <row r="7" spans="1:23" x14ac:dyDescent="0.25">
      <c r="A7" s="197" t="s">
        <v>169</v>
      </c>
      <c r="B7" s="228">
        <f>1-B6</f>
        <v>0.30000000000000004</v>
      </c>
      <c r="C7" s="414"/>
      <c r="D7" s="415"/>
      <c r="E7" s="422">
        <f>+B4*B7</f>
        <v>60.000000000000007</v>
      </c>
      <c r="F7" s="423"/>
      <c r="G7" s="197" t="s">
        <v>128</v>
      </c>
      <c r="H7" s="196">
        <f>+B7</f>
        <v>0.30000000000000004</v>
      </c>
      <c r="I7" s="414"/>
      <c r="J7" s="415"/>
      <c r="K7" s="206"/>
      <c r="L7" s="197" t="s">
        <v>128</v>
      </c>
      <c r="M7" s="241"/>
      <c r="N7" s="414" t="s">
        <v>187</v>
      </c>
      <c r="O7" s="415"/>
      <c r="P7" s="210">
        <f>+R4*R7</f>
        <v>0</v>
      </c>
      <c r="Q7" s="197" t="s">
        <v>169</v>
      </c>
      <c r="R7" s="241"/>
      <c r="S7" s="414" t="s">
        <v>186</v>
      </c>
      <c r="T7" s="415"/>
      <c r="U7" s="237"/>
      <c r="V7" s="216" t="s">
        <v>181</v>
      </c>
      <c r="W7" s="217"/>
    </row>
    <row r="8" spans="1:23" ht="15.75" thickBot="1" x14ac:dyDescent="0.3">
      <c r="A8" s="58"/>
      <c r="B8" s="201"/>
      <c r="C8" s="417" t="s">
        <v>133</v>
      </c>
      <c r="D8" s="418"/>
      <c r="E8" s="422">
        <f>+B4*B6*B7</f>
        <v>42.000000000000007</v>
      </c>
      <c r="F8" s="423"/>
      <c r="G8" s="58"/>
      <c r="H8" s="272"/>
      <c r="I8" s="417" t="s">
        <v>190</v>
      </c>
      <c r="J8" s="418"/>
      <c r="K8" s="204"/>
      <c r="L8" s="58"/>
      <c r="M8" s="249"/>
      <c r="N8" s="417" t="s">
        <v>133</v>
      </c>
      <c r="O8" s="418"/>
      <c r="P8" s="210">
        <f>+R4*R6*R7</f>
        <v>0</v>
      </c>
      <c r="Q8" s="58"/>
      <c r="R8" s="201"/>
      <c r="S8" s="417" t="s">
        <v>133</v>
      </c>
      <c r="T8" s="418"/>
      <c r="U8" s="237"/>
      <c r="V8" s="218" t="s">
        <v>182</v>
      </c>
      <c r="W8" s="219"/>
    </row>
    <row r="9" spans="1:23" ht="15.75" thickTop="1" x14ac:dyDescent="0.25">
      <c r="A9" s="457" t="s">
        <v>194</v>
      </c>
      <c r="B9" s="457"/>
      <c r="C9" s="457"/>
      <c r="D9" s="457"/>
      <c r="G9" s="438" t="s">
        <v>215</v>
      </c>
      <c r="H9" s="434"/>
      <c r="I9" s="434"/>
      <c r="J9" s="439"/>
      <c r="L9" s="438" t="s">
        <v>210</v>
      </c>
      <c r="M9" s="434"/>
      <c r="N9" s="434"/>
      <c r="O9" s="439"/>
      <c r="Q9" s="440" t="s">
        <v>194</v>
      </c>
      <c r="R9" s="440"/>
      <c r="S9" s="440"/>
      <c r="T9" s="440"/>
      <c r="U9" s="237"/>
    </row>
    <row r="10" spans="1:23" s="6" customFormat="1" x14ac:dyDescent="0.25">
      <c r="A10" s="468" t="s">
        <v>214</v>
      </c>
      <c r="B10" s="468"/>
      <c r="C10" s="468"/>
      <c r="D10" s="468"/>
      <c r="E10" s="468"/>
      <c r="F10" s="469"/>
      <c r="G10" s="284"/>
      <c r="H10" s="285"/>
      <c r="I10" s="285" t="s">
        <v>200</v>
      </c>
      <c r="J10" s="286" t="s">
        <v>201</v>
      </c>
      <c r="L10" s="284"/>
      <c r="M10" s="285"/>
      <c r="N10" s="285" t="s">
        <v>200</v>
      </c>
      <c r="O10" s="286" t="s">
        <v>201</v>
      </c>
      <c r="P10"/>
      <c r="Q10" s="285"/>
      <c r="R10" s="285"/>
      <c r="S10" s="285"/>
      <c r="T10" s="285"/>
    </row>
    <row r="11" spans="1:23" x14ac:dyDescent="0.25">
      <c r="G11" s="455" t="s">
        <v>195</v>
      </c>
      <c r="H11" s="319"/>
      <c r="I11" s="12">
        <v>0.95</v>
      </c>
      <c r="J11" s="274">
        <f>1-I11</f>
        <v>5.0000000000000044E-2</v>
      </c>
      <c r="L11" s="455" t="s">
        <v>195</v>
      </c>
      <c r="M11" s="319"/>
      <c r="N11" s="12">
        <v>0.99</v>
      </c>
      <c r="O11" s="274">
        <f>1-N11</f>
        <v>1.0000000000000009E-2</v>
      </c>
      <c r="Q11" s="319"/>
      <c r="R11" s="319"/>
      <c r="S11" s="319"/>
      <c r="T11" s="319"/>
      <c r="U11" s="237"/>
    </row>
    <row r="12" spans="1:23" x14ac:dyDescent="0.25">
      <c r="G12" s="456"/>
      <c r="H12" s="318"/>
      <c r="J12" s="252"/>
      <c r="L12" s="456"/>
      <c r="M12" s="318"/>
      <c r="O12" s="252"/>
      <c r="U12" s="237"/>
    </row>
    <row r="13" spans="1:23" ht="15" customHeight="1" x14ac:dyDescent="0.25">
      <c r="G13" s="245"/>
      <c r="J13" s="252"/>
      <c r="L13" s="245"/>
      <c r="O13" s="252"/>
      <c r="U13" s="237"/>
    </row>
    <row r="14" spans="1:23" ht="15" customHeight="1" x14ac:dyDescent="0.25">
      <c r="G14" s="466" t="s">
        <v>196</v>
      </c>
      <c r="H14" s="467"/>
      <c r="J14" s="276">
        <f>+H8/SQRT(B4)</f>
        <v>0</v>
      </c>
      <c r="L14" s="346" t="s">
        <v>211</v>
      </c>
      <c r="M14" s="346"/>
      <c r="O14" s="51">
        <f>+R8*(SQRT(R4/(R4-1)))</f>
        <v>0</v>
      </c>
      <c r="U14" s="237"/>
    </row>
    <row r="15" spans="1:23" s="6" customFormat="1" ht="15" customHeight="1" x14ac:dyDescent="0.25">
      <c r="A15"/>
      <c r="B15"/>
      <c r="C15"/>
      <c r="D15"/>
      <c r="G15" s="277"/>
      <c r="H15" s="7"/>
      <c r="J15" s="275"/>
      <c r="L15"/>
      <c r="M15"/>
      <c r="N15"/>
      <c r="O15"/>
      <c r="P15"/>
    </row>
    <row r="16" spans="1:23" ht="15" customHeight="1" x14ac:dyDescent="0.25">
      <c r="G16" s="453"/>
      <c r="H16" s="454"/>
      <c r="I16" s="4">
        <f>+I11</f>
        <v>0.95</v>
      </c>
      <c r="J16" s="278" t="s">
        <v>212</v>
      </c>
      <c r="L16" s="453"/>
      <c r="M16" s="454"/>
      <c r="N16" s="4">
        <f>+N11</f>
        <v>0.99</v>
      </c>
      <c r="O16" s="278" t="s">
        <v>212</v>
      </c>
      <c r="U16" s="237"/>
    </row>
    <row r="17" spans="7:21" ht="15.75" customHeight="1" x14ac:dyDescent="0.25">
      <c r="G17" s="453"/>
      <c r="H17" s="454"/>
      <c r="I17" s="4">
        <f>1+I16</f>
        <v>1.95</v>
      </c>
      <c r="J17" s="275"/>
      <c r="L17" s="453"/>
      <c r="M17" s="454"/>
      <c r="N17" s="4">
        <f>1+N16</f>
        <v>1.99</v>
      </c>
      <c r="O17" s="275"/>
      <c r="U17" s="237"/>
    </row>
    <row r="18" spans="7:21" ht="15.75" customHeight="1" x14ac:dyDescent="0.25">
      <c r="G18" s="453"/>
      <c r="H18" s="454"/>
      <c r="I18" s="4">
        <f>+I17/2</f>
        <v>0.97499999999999998</v>
      </c>
      <c r="J18" s="252"/>
      <c r="L18" s="453"/>
      <c r="M18" s="454"/>
      <c r="N18" s="4">
        <f>+N17/2</f>
        <v>0.995</v>
      </c>
      <c r="O18" s="252"/>
      <c r="U18" s="237"/>
    </row>
    <row r="19" spans="7:21" ht="15.75" customHeight="1" x14ac:dyDescent="0.25">
      <c r="G19" s="245"/>
      <c r="J19" s="252"/>
      <c r="L19" s="245"/>
      <c r="O19" s="252"/>
      <c r="U19" s="237"/>
    </row>
    <row r="20" spans="7:21" ht="15.75" customHeight="1" x14ac:dyDescent="0.25">
      <c r="G20" s="245"/>
      <c r="H20" s="279">
        <f>+I18</f>
        <v>0.97499999999999998</v>
      </c>
      <c r="I20" s="3" t="s">
        <v>197</v>
      </c>
      <c r="J20" s="276">
        <v>1.96</v>
      </c>
      <c r="L20" s="245"/>
      <c r="M20" s="279">
        <f>+N18</f>
        <v>0.995</v>
      </c>
      <c r="N20" s="3" t="s">
        <v>197</v>
      </c>
      <c r="O20" s="276">
        <v>2.58</v>
      </c>
      <c r="U20" s="237"/>
    </row>
    <row r="21" spans="7:21" ht="15.75" customHeight="1" thickBot="1" x14ac:dyDescent="0.3">
      <c r="G21" s="280" t="s">
        <v>198</v>
      </c>
      <c r="H21" s="281"/>
      <c r="I21" s="282">
        <f>+H6-(J20*(SQRT((H6*H7)/B4)))</f>
        <v>0.63648874115560294</v>
      </c>
      <c r="J21" s="283">
        <f>+H6+(J20*(SQRT((H6*H7)/B4)))</f>
        <v>0.76351125884439697</v>
      </c>
      <c r="L21" s="280" t="s">
        <v>198</v>
      </c>
      <c r="M21" s="281"/>
      <c r="N21" s="282" t="e">
        <f>+R5-O20*(O14/SQRT(R4))</f>
        <v>#DIV/0!</v>
      </c>
      <c r="O21" s="282" t="e">
        <f>+R5+O20*(O14/SQRT(R4))</f>
        <v>#DIV/0!</v>
      </c>
      <c r="U21" s="237"/>
    </row>
    <row r="22" spans="7:21" ht="15.75" customHeight="1" thickTop="1" x14ac:dyDescent="0.25">
      <c r="G22" s="438" t="s">
        <v>202</v>
      </c>
      <c r="H22" s="434"/>
      <c r="I22" s="434"/>
      <c r="J22" s="439"/>
      <c r="U22" s="237"/>
    </row>
    <row r="23" spans="7:21" ht="15.75" customHeight="1" x14ac:dyDescent="0.25">
      <c r="G23" s="288"/>
      <c r="H23" s="6"/>
      <c r="I23" s="285" t="s">
        <v>200</v>
      </c>
      <c r="J23" s="286" t="s">
        <v>201</v>
      </c>
      <c r="L23" s="465" t="s">
        <v>213</v>
      </c>
      <c r="M23" s="465"/>
      <c r="N23" s="465"/>
      <c r="O23" s="465"/>
      <c r="U23" s="237"/>
    </row>
    <row r="24" spans="7:21" x14ac:dyDescent="0.25">
      <c r="G24" s="455" t="s">
        <v>199</v>
      </c>
      <c r="H24" s="319"/>
      <c r="I24" s="4">
        <f>1-J24</f>
        <v>0.99</v>
      </c>
      <c r="J24" s="287">
        <v>0.01</v>
      </c>
    </row>
    <row r="25" spans="7:21" x14ac:dyDescent="0.25">
      <c r="G25" s="456"/>
      <c r="H25" s="318"/>
      <c r="J25" s="252"/>
    </row>
    <row r="26" spans="7:21" x14ac:dyDescent="0.25">
      <c r="G26" s="245"/>
      <c r="J26" s="252"/>
    </row>
    <row r="27" spans="7:21" x14ac:dyDescent="0.25">
      <c r="G27" s="466" t="s">
        <v>196</v>
      </c>
      <c r="H27" s="467"/>
      <c r="J27" s="276">
        <f>+$H$8/SQRT($B$4)</f>
        <v>0</v>
      </c>
    </row>
    <row r="28" spans="7:21" x14ac:dyDescent="0.25">
      <c r="G28" s="277"/>
      <c r="H28" s="7"/>
      <c r="I28" s="6"/>
      <c r="J28" s="275"/>
    </row>
    <row r="29" spans="7:21" x14ac:dyDescent="0.25">
      <c r="G29" s="453"/>
      <c r="H29" s="454"/>
      <c r="I29" s="4">
        <f>+I24</f>
        <v>0.99</v>
      </c>
      <c r="J29" s="278" t="s">
        <v>195</v>
      </c>
    </row>
    <row r="30" spans="7:21" x14ac:dyDescent="0.25">
      <c r="G30" s="453"/>
      <c r="H30" s="454"/>
      <c r="I30" s="4">
        <f>1+I29</f>
        <v>1.99</v>
      </c>
      <c r="J30" s="275"/>
    </row>
    <row r="31" spans="7:21" x14ac:dyDescent="0.25">
      <c r="G31" s="453"/>
      <c r="H31" s="454"/>
      <c r="I31" s="4">
        <f>+I30/2</f>
        <v>0.995</v>
      </c>
      <c r="J31" s="252"/>
    </row>
    <row r="32" spans="7:21" x14ac:dyDescent="0.25">
      <c r="G32" s="245"/>
      <c r="J32" s="252"/>
    </row>
    <row r="33" spans="7:13" x14ac:dyDescent="0.25">
      <c r="G33" s="245"/>
      <c r="H33" s="279">
        <f>+I31</f>
        <v>0.995</v>
      </c>
      <c r="I33" s="3" t="s">
        <v>197</v>
      </c>
      <c r="J33" s="276">
        <v>2.58</v>
      </c>
    </row>
    <row r="34" spans="7:13" ht="15.75" thickBot="1" x14ac:dyDescent="0.3">
      <c r="G34" s="280" t="s">
        <v>198</v>
      </c>
      <c r="H34" s="281"/>
      <c r="I34" s="282">
        <f>+H6-(J33*(SQRT((+H6*H7)/B4)))</f>
        <v>0.61639844499053853</v>
      </c>
      <c r="J34" s="283">
        <f>+H6+(J33*(SQRT((+H6*H7)/B4)))</f>
        <v>0.78360155500946138</v>
      </c>
    </row>
    <row r="35" spans="7:13" ht="15.75" thickTop="1" x14ac:dyDescent="0.25">
      <c r="G35" s="462" t="s">
        <v>208</v>
      </c>
      <c r="H35" s="463"/>
      <c r="I35" s="463"/>
      <c r="J35" s="464"/>
    </row>
    <row r="36" spans="7:13" x14ac:dyDescent="0.25">
      <c r="G36" s="456"/>
      <c r="H36" s="318"/>
      <c r="J36" s="289">
        <v>0.1</v>
      </c>
    </row>
    <row r="37" spans="7:13" x14ac:dyDescent="0.25">
      <c r="G37" s="245"/>
      <c r="J37" s="252"/>
    </row>
    <row r="38" spans="7:13" x14ac:dyDescent="0.25">
      <c r="G38" s="245"/>
      <c r="J38" s="252"/>
    </row>
    <row r="39" spans="7:13" x14ac:dyDescent="0.25">
      <c r="G39" s="245"/>
      <c r="J39" s="252"/>
    </row>
    <row r="40" spans="7:13" x14ac:dyDescent="0.25">
      <c r="G40" s="245"/>
      <c r="J40" s="252"/>
      <c r="M40">
        <f>+H6*H7</f>
        <v>0.21000000000000002</v>
      </c>
    </row>
    <row r="41" spans="7:13" x14ac:dyDescent="0.25">
      <c r="G41" s="459" t="s">
        <v>203</v>
      </c>
      <c r="H41" s="318"/>
      <c r="I41" s="460" t="s">
        <v>204</v>
      </c>
      <c r="J41" s="461"/>
      <c r="M41">
        <f>SQRT(M40)</f>
        <v>0.45825756949558405</v>
      </c>
    </row>
    <row r="42" spans="7:13" x14ac:dyDescent="0.25">
      <c r="G42" s="293">
        <f>((+H6-J36)-H6)/(SQRT(H6*H7))</f>
        <v>-0.21821789023599231</v>
      </c>
      <c r="I42" s="16">
        <f>((+H6+J36)-H6)/(SQRT(H6*H7))</f>
        <v>0.21821789023599231</v>
      </c>
      <c r="J42" s="252"/>
    </row>
    <row r="43" spans="7:13" x14ac:dyDescent="0.25">
      <c r="G43" s="453" t="s">
        <v>205</v>
      </c>
      <c r="H43" s="454"/>
      <c r="I43" s="454"/>
      <c r="J43" s="289">
        <v>0.99</v>
      </c>
    </row>
    <row r="44" spans="7:13" x14ac:dyDescent="0.25">
      <c r="G44" s="245" t="s">
        <v>206</v>
      </c>
      <c r="H44">
        <v>0.995</v>
      </c>
      <c r="I44" t="s">
        <v>207</v>
      </c>
      <c r="J44" s="290">
        <v>2.58</v>
      </c>
    </row>
    <row r="45" spans="7:13" x14ac:dyDescent="0.25">
      <c r="G45" s="245"/>
      <c r="H45">
        <f>+J44/0.2</f>
        <v>12.9</v>
      </c>
      <c r="J45" s="252"/>
    </row>
    <row r="46" spans="7:13" ht="15.75" thickBot="1" x14ac:dyDescent="0.3">
      <c r="G46" s="291" t="s">
        <v>126</v>
      </c>
      <c r="H46" s="292">
        <f>+H45^2</f>
        <v>166.41</v>
      </c>
      <c r="I46" s="281">
        <v>167</v>
      </c>
      <c r="J46" s="133"/>
    </row>
    <row r="47" spans="7:13" ht="15.75" thickTop="1" x14ac:dyDescent="0.25"/>
  </sheetData>
  <mergeCells count="71">
    <mergeCell ref="A10:F10"/>
    <mergeCell ref="G30:H30"/>
    <mergeCell ref="G31:H31"/>
    <mergeCell ref="G35:J35"/>
    <mergeCell ref="G36:H36"/>
    <mergeCell ref="G22:J22"/>
    <mergeCell ref="G16:H16"/>
    <mergeCell ref="G11:H11"/>
    <mergeCell ref="G24:H24"/>
    <mergeCell ref="G25:H25"/>
    <mergeCell ref="G27:H27"/>
    <mergeCell ref="G29:H29"/>
    <mergeCell ref="G43:I43"/>
    <mergeCell ref="G41:H41"/>
    <mergeCell ref="I41:J41"/>
    <mergeCell ref="G17:H17"/>
    <mergeCell ref="L17:M17"/>
    <mergeCell ref="G18:H18"/>
    <mergeCell ref="L18:M18"/>
    <mergeCell ref="L23:O23"/>
    <mergeCell ref="G12:H12"/>
    <mergeCell ref="L12:M12"/>
    <mergeCell ref="G14:H14"/>
    <mergeCell ref="L14:M14"/>
    <mergeCell ref="L16:M16"/>
    <mergeCell ref="I8:J8"/>
    <mergeCell ref="N8:O8"/>
    <mergeCell ref="S8:T8"/>
    <mergeCell ref="L11:M11"/>
    <mergeCell ref="Q11:T11"/>
    <mergeCell ref="A9:D9"/>
    <mergeCell ref="G9:J9"/>
    <mergeCell ref="L9:O9"/>
    <mergeCell ref="Q9:T9"/>
    <mergeCell ref="C6:D6"/>
    <mergeCell ref="E6:F6"/>
    <mergeCell ref="I6:J6"/>
    <mergeCell ref="N6:O6"/>
    <mergeCell ref="S6:T6"/>
    <mergeCell ref="C7:D7"/>
    <mergeCell ref="E7:F7"/>
    <mergeCell ref="I7:J7"/>
    <mergeCell ref="N7:O7"/>
    <mergeCell ref="S7:T7"/>
    <mergeCell ref="C8:D8"/>
    <mergeCell ref="E8:F8"/>
    <mergeCell ref="C4:D4"/>
    <mergeCell ref="E4:F4"/>
    <mergeCell ref="I4:J4"/>
    <mergeCell ref="N4:O4"/>
    <mergeCell ref="S4:T4"/>
    <mergeCell ref="C5:D5"/>
    <mergeCell ref="E5:F5"/>
    <mergeCell ref="I5:J5"/>
    <mergeCell ref="N5:O5"/>
    <mergeCell ref="S5:T5"/>
    <mergeCell ref="Q2:Q3"/>
    <mergeCell ref="S2:T2"/>
    <mergeCell ref="C3:D3"/>
    <mergeCell ref="E3:F3"/>
    <mergeCell ref="I3:J3"/>
    <mergeCell ref="N3:O3"/>
    <mergeCell ref="S3:T3"/>
    <mergeCell ref="G1:O1"/>
    <mergeCell ref="A2:A3"/>
    <mergeCell ref="C2:D2"/>
    <mergeCell ref="E2:F2"/>
    <mergeCell ref="G2:G3"/>
    <mergeCell ref="I2:J2"/>
    <mergeCell ref="L2:L3"/>
    <mergeCell ref="N2:O2"/>
  </mergeCells>
  <conditionalFormatting sqref="E4:F4">
    <cfRule type="cellIs" dxfId="3" priority="4" operator="greaterThanOrEqual">
      <formula>30</formula>
    </cfRule>
  </conditionalFormatting>
  <conditionalFormatting sqref="E6:F8">
    <cfRule type="cellIs" dxfId="2" priority="1" operator="greaterThanOrEqual">
      <formula>5</formula>
    </cfRule>
  </conditionalFormatting>
  <conditionalFormatting sqref="P4">
    <cfRule type="cellIs" dxfId="1" priority="6" operator="greaterThanOrEqual">
      <formula>30</formula>
    </cfRule>
  </conditionalFormatting>
  <conditionalFormatting sqref="P6:P8">
    <cfRule type="cellIs" dxfId="0" priority="5" operator="greaterThanOrEqual">
      <formula>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C546-E458-4719-A729-32A5AB10C7AB}">
  <sheetPr>
    <tabColor rgb="FFFF0000"/>
  </sheetPr>
  <dimension ref="A1"/>
  <sheetViews>
    <sheetView workbookViewId="0">
      <selection activeCell="D6" sqref="D6"/>
    </sheetView>
  </sheetViews>
  <sheetFormatPr baseColWidth="10" defaultRowHeight="15" x14ac:dyDescent="0.25"/>
  <sheetData>
    <row r="1" spans="1:1" x14ac:dyDescent="0.25">
      <c r="A1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F937-19FE-4F57-ACAD-B9AC3BC07F13}">
  <sheetPr>
    <tabColor theme="8" tint="0.39997558519241921"/>
  </sheetPr>
  <dimension ref="A2:W54"/>
  <sheetViews>
    <sheetView topLeftCell="A28" workbookViewId="0">
      <selection activeCell="E28" sqref="E28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2" spans="1:23" x14ac:dyDescent="0.25">
      <c r="A2" s="320" t="s">
        <v>10</v>
      </c>
      <c r="B2" s="320"/>
      <c r="F2" s="21" t="s">
        <v>13</v>
      </c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ht="15.75" thickBot="1" x14ac:dyDescent="0.3">
      <c r="A4" s="318" t="s">
        <v>1</v>
      </c>
      <c r="B4" s="318"/>
      <c r="C4" t="s">
        <v>0</v>
      </c>
      <c r="P4" s="2">
        <f>SUM(nb_copie)</f>
        <v>80</v>
      </c>
      <c r="Q4" t="s">
        <v>11</v>
      </c>
      <c r="T4" s="319" t="s">
        <v>2</v>
      </c>
      <c r="U4" s="319"/>
      <c r="V4" s="319"/>
      <c r="W4" s="319"/>
    </row>
    <row r="5" spans="1:23" ht="15.75" thickTop="1" x14ac:dyDescent="0.25">
      <c r="A5" s="30">
        <v>0</v>
      </c>
      <c r="B5" s="31">
        <v>8</v>
      </c>
      <c r="C5" s="32">
        <v>15</v>
      </c>
      <c r="D5" s="4">
        <f>+C5</f>
        <v>15</v>
      </c>
      <c r="E5" s="12">
        <v>80</v>
      </c>
      <c r="F5" s="22">
        <f>+C5/$P$4*100</f>
        <v>18.75</v>
      </c>
      <c r="G5" s="23">
        <f>+F5</f>
        <v>18.75</v>
      </c>
      <c r="H5" s="24">
        <f>+G9</f>
        <v>100</v>
      </c>
      <c r="I5" s="4">
        <f>(+A5+B5)/2</f>
        <v>4</v>
      </c>
      <c r="J5" s="4">
        <f>+C5*I5</f>
        <v>60</v>
      </c>
      <c r="K5" s="4">
        <f>+I5-$S$28</f>
        <v>-5.75</v>
      </c>
      <c r="L5" s="16">
        <f>+K5^2</f>
        <v>33.0625</v>
      </c>
      <c r="M5" s="5">
        <f>+L5*C5</f>
        <v>495.9375</v>
      </c>
      <c r="T5" s="319" t="s">
        <v>3</v>
      </c>
      <c r="U5" s="319"/>
      <c r="V5" s="319"/>
      <c r="W5" s="319"/>
    </row>
    <row r="6" spans="1:23" x14ac:dyDescent="0.25">
      <c r="A6" s="33">
        <v>8</v>
      </c>
      <c r="B6" s="2">
        <v>16</v>
      </c>
      <c r="C6" s="34">
        <v>24</v>
      </c>
      <c r="D6" s="4">
        <f>+D5+C6</f>
        <v>39</v>
      </c>
      <c r="E6" s="4">
        <f>+E5-C5</f>
        <v>65</v>
      </c>
      <c r="F6" s="25">
        <f t="shared" ref="F6:F9" si="0">+C6/$P$4*100</f>
        <v>30</v>
      </c>
      <c r="G6" s="5">
        <f>+G5+F6</f>
        <v>48.75</v>
      </c>
      <c r="H6" s="26">
        <f>+H5-F5</f>
        <v>81.25</v>
      </c>
      <c r="I6" s="4">
        <f t="shared" ref="I6:I9" si="1">(+A6+B6)/2</f>
        <v>12</v>
      </c>
      <c r="J6" s="4">
        <f t="shared" ref="J6:J9" si="2">+C6*I6</f>
        <v>288</v>
      </c>
      <c r="K6" s="4">
        <f t="shared" ref="K6:K9" si="3">+I6-$S$28</f>
        <v>2.25</v>
      </c>
      <c r="L6" s="16">
        <f t="shared" ref="L6:L9" si="4">+K6^2</f>
        <v>5.0625</v>
      </c>
      <c r="M6" s="5">
        <f t="shared" ref="M6:M9" si="5">+L6*C6</f>
        <v>121.5</v>
      </c>
      <c r="P6" s="3">
        <f>+P4/2</f>
        <v>40</v>
      </c>
      <c r="T6" s="319"/>
      <c r="U6" s="319"/>
      <c r="V6" s="319"/>
      <c r="W6" s="319"/>
    </row>
    <row r="7" spans="1:23" x14ac:dyDescent="0.25">
      <c r="A7" s="33">
        <v>16</v>
      </c>
      <c r="B7" s="2">
        <v>24</v>
      </c>
      <c r="C7" s="34">
        <v>14</v>
      </c>
      <c r="D7" s="4">
        <f t="shared" ref="D7:D9" si="6">+D6+C7</f>
        <v>53</v>
      </c>
      <c r="E7" s="4">
        <f t="shared" ref="E7:E9" si="7">+E6-C6</f>
        <v>41</v>
      </c>
      <c r="F7" s="25">
        <f t="shared" si="0"/>
        <v>17.5</v>
      </c>
      <c r="G7" s="5">
        <f t="shared" ref="G7:G9" si="8">+G6+F7</f>
        <v>66.25</v>
      </c>
      <c r="H7" s="26">
        <f t="shared" ref="H7:H9" si="9">+H6-F6</f>
        <v>51.25</v>
      </c>
      <c r="I7" s="4">
        <f t="shared" si="1"/>
        <v>20</v>
      </c>
      <c r="J7" s="4">
        <f t="shared" si="2"/>
        <v>280</v>
      </c>
      <c r="K7" s="4">
        <f t="shared" si="3"/>
        <v>10.25</v>
      </c>
      <c r="L7" s="16">
        <f t="shared" si="4"/>
        <v>105.0625</v>
      </c>
      <c r="M7" s="5">
        <f t="shared" si="5"/>
        <v>1470.875</v>
      </c>
      <c r="T7" s="319"/>
      <c r="U7" s="319"/>
      <c r="V7" s="319"/>
      <c r="W7" s="319"/>
    </row>
    <row r="8" spans="1:23" x14ac:dyDescent="0.25">
      <c r="A8" s="33">
        <v>24</v>
      </c>
      <c r="B8" s="2">
        <v>32</v>
      </c>
      <c r="C8" s="34">
        <v>18</v>
      </c>
      <c r="D8" s="4">
        <f t="shared" si="6"/>
        <v>71</v>
      </c>
      <c r="E8" s="4">
        <f t="shared" si="7"/>
        <v>27</v>
      </c>
      <c r="F8" s="25">
        <f t="shared" si="0"/>
        <v>22.5</v>
      </c>
      <c r="G8" s="5">
        <f t="shared" si="8"/>
        <v>88.75</v>
      </c>
      <c r="H8" s="26">
        <f t="shared" si="9"/>
        <v>33.75</v>
      </c>
      <c r="I8" s="4">
        <f t="shared" si="1"/>
        <v>28</v>
      </c>
      <c r="J8" s="4">
        <f t="shared" si="2"/>
        <v>504</v>
      </c>
      <c r="K8" s="4">
        <f t="shared" si="3"/>
        <v>18.25</v>
      </c>
      <c r="L8" s="16">
        <f t="shared" si="4"/>
        <v>333.0625</v>
      </c>
      <c r="M8" s="5">
        <f t="shared" si="5"/>
        <v>5995.125</v>
      </c>
      <c r="P8" s="2">
        <f>SUM(ni_ci)</f>
        <v>780</v>
      </c>
      <c r="T8" s="319"/>
      <c r="U8" s="319"/>
      <c r="V8" s="319"/>
      <c r="W8" s="319"/>
    </row>
    <row r="9" spans="1:23" ht="15.75" thickBot="1" x14ac:dyDescent="0.3">
      <c r="A9" s="35">
        <v>32</v>
      </c>
      <c r="B9" s="36">
        <v>40</v>
      </c>
      <c r="C9" s="37">
        <v>9</v>
      </c>
      <c r="D9" s="4">
        <f t="shared" si="6"/>
        <v>80</v>
      </c>
      <c r="E9" s="4">
        <f t="shared" si="7"/>
        <v>9</v>
      </c>
      <c r="F9" s="27">
        <f t="shared" si="0"/>
        <v>11.25</v>
      </c>
      <c r="G9" s="28">
        <f t="shared" si="8"/>
        <v>100</v>
      </c>
      <c r="H9" s="29">
        <f t="shared" si="9"/>
        <v>11.25</v>
      </c>
      <c r="I9" s="4">
        <f t="shared" si="1"/>
        <v>36</v>
      </c>
      <c r="J9" s="4">
        <f t="shared" si="2"/>
        <v>324</v>
      </c>
      <c r="K9" s="4">
        <f t="shared" si="3"/>
        <v>26.25</v>
      </c>
      <c r="L9" s="16">
        <f t="shared" si="4"/>
        <v>689.0625</v>
      </c>
      <c r="M9" s="5">
        <f t="shared" si="5"/>
        <v>6201.5625</v>
      </c>
      <c r="T9" s="319"/>
      <c r="U9" s="319"/>
      <c r="V9" s="319"/>
      <c r="W9" s="319"/>
    </row>
    <row r="10" spans="1:23" ht="15.75" thickTop="1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317" t="s">
        <v>4</v>
      </c>
      <c r="P14" s="317"/>
      <c r="Q14" s="317"/>
      <c r="R14" s="317"/>
      <c r="S14" s="317"/>
    </row>
    <row r="15" spans="1:23" x14ac:dyDescent="0.25">
      <c r="Q15" t="s">
        <v>5</v>
      </c>
      <c r="R15" s="8">
        <v>39</v>
      </c>
      <c r="S15" s="8">
        <v>53</v>
      </c>
      <c r="T15" s="11">
        <f>+S15-R15</f>
        <v>14</v>
      </c>
    </row>
    <row r="16" spans="1:23" x14ac:dyDescent="0.25">
      <c r="Q16" t="s">
        <v>5</v>
      </c>
      <c r="R16" s="8">
        <v>16</v>
      </c>
      <c r="S16" s="42">
        <v>24</v>
      </c>
      <c r="T16" s="11">
        <f>+S16-R16</f>
        <v>8</v>
      </c>
    </row>
    <row r="18" spans="1:20" x14ac:dyDescent="0.25">
      <c r="K18">
        <f>12*65%</f>
        <v>7.8000000000000007</v>
      </c>
      <c r="Q18" s="11">
        <f>+T16/T15</f>
        <v>0.5714285714285714</v>
      </c>
      <c r="R18" s="10">
        <f>+P6-R15</f>
        <v>1</v>
      </c>
      <c r="S18" s="9">
        <f>+Q18*R18+R16</f>
        <v>16.571428571428573</v>
      </c>
    </row>
    <row r="20" spans="1:20" x14ac:dyDescent="0.25">
      <c r="A20" s="20" t="s">
        <v>12</v>
      </c>
      <c r="O20" s="317" t="s">
        <v>6</v>
      </c>
      <c r="P20" s="317"/>
      <c r="Q20" s="317"/>
      <c r="R20" s="317"/>
      <c r="S20" s="317"/>
    </row>
    <row r="21" spans="1:20" x14ac:dyDescent="0.25">
      <c r="A21" t="s">
        <v>15</v>
      </c>
      <c r="B21" t="s">
        <v>14</v>
      </c>
      <c r="Q21" t="s">
        <v>5</v>
      </c>
      <c r="R21" s="8">
        <v>48.8</v>
      </c>
      <c r="S21" s="8">
        <v>66.3</v>
      </c>
      <c r="T21" s="11">
        <f>+S21-R21</f>
        <v>17.5</v>
      </c>
    </row>
    <row r="22" spans="1:20" x14ac:dyDescent="0.25">
      <c r="Q22" t="s">
        <v>5</v>
      </c>
      <c r="R22" s="8">
        <v>16</v>
      </c>
      <c r="S22" s="8">
        <v>24</v>
      </c>
      <c r="T22" s="11">
        <f>+S22-R22</f>
        <v>8</v>
      </c>
    </row>
    <row r="23" spans="1:20" x14ac:dyDescent="0.25">
      <c r="A23" t="s">
        <v>27</v>
      </c>
      <c r="B23" t="s">
        <v>17</v>
      </c>
      <c r="C23" t="s">
        <v>18</v>
      </c>
      <c r="D23" t="s">
        <v>19</v>
      </c>
      <c r="E23" t="s">
        <v>20</v>
      </c>
    </row>
    <row r="24" spans="1:20" x14ac:dyDescent="0.25">
      <c r="B24" s="39">
        <v>0.25</v>
      </c>
      <c r="C24" s="38">
        <v>0.5</v>
      </c>
      <c r="D24" s="39">
        <v>0.75</v>
      </c>
      <c r="E24" s="38">
        <v>1</v>
      </c>
      <c r="Q24" s="11">
        <f>+T22/T21</f>
        <v>0.45714285714285713</v>
      </c>
      <c r="R24" s="11">
        <f>+$P$10-R21</f>
        <v>1.2000000000000028</v>
      </c>
      <c r="S24" s="13">
        <f>+Q24*R24+R22</f>
        <v>16.548571428571428</v>
      </c>
      <c r="T24" t="s">
        <v>16</v>
      </c>
    </row>
    <row r="25" spans="1:20" x14ac:dyDescent="0.25">
      <c r="B25">
        <v>25</v>
      </c>
      <c r="C25" s="40" t="s">
        <v>21</v>
      </c>
      <c r="D25">
        <v>75</v>
      </c>
      <c r="E25" s="1" t="s">
        <v>22</v>
      </c>
    </row>
    <row r="26" spans="1:20" x14ac:dyDescent="0.25">
      <c r="O26" s="317" t="s">
        <v>7</v>
      </c>
      <c r="P26" s="317"/>
      <c r="Q26" s="317"/>
      <c r="R26" s="317"/>
      <c r="S26" s="317"/>
    </row>
    <row r="27" spans="1:20" x14ac:dyDescent="0.25">
      <c r="B27" s="317" t="s">
        <v>23</v>
      </c>
      <c r="C27" s="317"/>
      <c r="D27" s="317"/>
      <c r="E27" s="317"/>
      <c r="F27" s="317"/>
      <c r="G27" t="s">
        <v>17</v>
      </c>
      <c r="H27">
        <v>25</v>
      </c>
    </row>
    <row r="28" spans="1:20" x14ac:dyDescent="0.25">
      <c r="D28" t="s">
        <v>5</v>
      </c>
      <c r="E28" s="8">
        <v>18.8</v>
      </c>
      <c r="F28" s="8">
        <v>48.8</v>
      </c>
      <c r="G28" s="11">
        <f>+F28-E28</f>
        <v>29.999999999999996</v>
      </c>
      <c r="S28" s="9">
        <f>+P8/P4</f>
        <v>9.75</v>
      </c>
    </row>
    <row r="29" spans="1:20" x14ac:dyDescent="0.25">
      <c r="D29" t="s">
        <v>5</v>
      </c>
      <c r="E29" s="8">
        <v>8</v>
      </c>
      <c r="F29" s="8">
        <v>16</v>
      </c>
      <c r="G29" s="11">
        <f>+F29-E29</f>
        <v>8</v>
      </c>
    </row>
    <row r="30" spans="1:20" x14ac:dyDescent="0.25">
      <c r="O30" s="317" t="s">
        <v>8</v>
      </c>
      <c r="P30" s="317"/>
      <c r="Q30" s="317"/>
      <c r="R30" s="317"/>
      <c r="S30" s="317"/>
    </row>
    <row r="31" spans="1:20" x14ac:dyDescent="0.25">
      <c r="D31" s="11">
        <f>+G29/G28</f>
        <v>0.26666666666666672</v>
      </c>
      <c r="E31" s="11">
        <f>+$B$25-E28</f>
        <v>6.1999999999999993</v>
      </c>
      <c r="F31" s="14">
        <f>+D31*E31+E29</f>
        <v>9.6533333333333342</v>
      </c>
      <c r="G31" t="s">
        <v>24</v>
      </c>
    </row>
    <row r="32" spans="1:20" x14ac:dyDescent="0.25">
      <c r="G32" t="s">
        <v>25</v>
      </c>
      <c r="S32" s="14">
        <f>+Q12/P4</f>
        <v>18.9375</v>
      </c>
    </row>
    <row r="34" spans="1:19" x14ac:dyDescent="0.25">
      <c r="B34" s="317" t="s">
        <v>23</v>
      </c>
      <c r="C34" s="317"/>
      <c r="D34" s="317"/>
      <c r="E34" s="317"/>
      <c r="F34" s="317"/>
      <c r="G34" t="s">
        <v>17</v>
      </c>
      <c r="H34">
        <v>25</v>
      </c>
      <c r="O34" s="317" t="s">
        <v>9</v>
      </c>
      <c r="P34" s="317"/>
      <c r="Q34" s="317"/>
      <c r="R34" s="317"/>
      <c r="S34" s="317"/>
    </row>
    <row r="35" spans="1:19" ht="15.75" thickBot="1" x14ac:dyDescent="0.3">
      <c r="D35" t="s">
        <v>5</v>
      </c>
      <c r="E35" s="8">
        <v>66.3</v>
      </c>
      <c r="F35" s="8">
        <v>88.8</v>
      </c>
      <c r="G35" s="11">
        <f>+F35-E35</f>
        <v>22.5</v>
      </c>
    </row>
    <row r="36" spans="1:19" ht="16.5" thickTop="1" thickBot="1" x14ac:dyDescent="0.3">
      <c r="D36" t="s">
        <v>5</v>
      </c>
      <c r="E36" s="8">
        <v>24</v>
      </c>
      <c r="F36" s="8">
        <v>32</v>
      </c>
      <c r="G36" s="11">
        <f>+F36-E36</f>
        <v>8</v>
      </c>
      <c r="Q36" s="18" t="str">
        <f>IF(S36&lt;1.5,"Homogéne","Hétérogéne")</f>
        <v>Hétérogéne</v>
      </c>
      <c r="S36" s="15">
        <f>SQRT(S32)</f>
        <v>4.351723796382303</v>
      </c>
    </row>
    <row r="37" spans="1:19" ht="15.75" thickTop="1" x14ac:dyDescent="0.25"/>
    <row r="38" spans="1:19" x14ac:dyDescent="0.25">
      <c r="D38" s="11">
        <f>+G36/G35</f>
        <v>0.35555555555555557</v>
      </c>
      <c r="E38" s="11">
        <f>+$D$25-E35</f>
        <v>8.7000000000000028</v>
      </c>
      <c r="F38" s="14">
        <f>+D38*E38+E36</f>
        <v>27.093333333333334</v>
      </c>
      <c r="G38" t="s">
        <v>24</v>
      </c>
    </row>
    <row r="39" spans="1:19" x14ac:dyDescent="0.25">
      <c r="G39" t="s">
        <v>25</v>
      </c>
    </row>
    <row r="41" spans="1:19" x14ac:dyDescent="0.25">
      <c r="A41" s="20" t="s">
        <v>26</v>
      </c>
      <c r="B41" t="s">
        <v>28</v>
      </c>
      <c r="C41" t="s">
        <v>29</v>
      </c>
      <c r="D41" s="41" t="s">
        <v>30</v>
      </c>
      <c r="E41" t="s">
        <v>31</v>
      </c>
      <c r="F41" t="s">
        <v>32</v>
      </c>
      <c r="G41" t="s">
        <v>33</v>
      </c>
      <c r="H41" t="s">
        <v>34</v>
      </c>
      <c r="I41" t="s">
        <v>35</v>
      </c>
      <c r="J41" t="s">
        <v>36</v>
      </c>
      <c r="K41" t="s">
        <v>37</v>
      </c>
    </row>
    <row r="42" spans="1:19" x14ac:dyDescent="0.25">
      <c r="B42" s="38">
        <v>0.1</v>
      </c>
      <c r="C42" s="38"/>
      <c r="D42" s="38"/>
      <c r="E42" s="38"/>
      <c r="F42" s="38"/>
      <c r="G42" s="38"/>
      <c r="H42" s="38"/>
      <c r="I42" s="38"/>
      <c r="J42" s="38"/>
      <c r="K42" s="38"/>
    </row>
    <row r="43" spans="1:19" x14ac:dyDescent="0.25">
      <c r="B43">
        <v>10</v>
      </c>
      <c r="C43">
        <f>+B43+10</f>
        <v>20</v>
      </c>
      <c r="D43" s="41">
        <f t="shared" ref="D43:K43" si="10">+C43+10</f>
        <v>30</v>
      </c>
      <c r="E43">
        <f t="shared" si="10"/>
        <v>40</v>
      </c>
      <c r="F43">
        <f t="shared" si="10"/>
        <v>50</v>
      </c>
      <c r="G43">
        <f t="shared" si="10"/>
        <v>60</v>
      </c>
      <c r="H43">
        <f t="shared" si="10"/>
        <v>70</v>
      </c>
      <c r="I43">
        <f t="shared" si="10"/>
        <v>80</v>
      </c>
      <c r="J43">
        <f t="shared" si="10"/>
        <v>90</v>
      </c>
      <c r="K43">
        <f t="shared" si="10"/>
        <v>100</v>
      </c>
    </row>
    <row r="45" spans="1:19" x14ac:dyDescent="0.25">
      <c r="B45" s="317" t="s">
        <v>23</v>
      </c>
      <c r="C45" s="317"/>
      <c r="D45" s="317"/>
      <c r="E45" s="317"/>
      <c r="F45" s="317"/>
    </row>
    <row r="46" spans="1:19" x14ac:dyDescent="0.25">
      <c r="D46" t="s">
        <v>5</v>
      </c>
      <c r="E46" s="8">
        <v>18.8</v>
      </c>
      <c r="F46" s="8">
        <v>48.8</v>
      </c>
      <c r="G46" s="11">
        <f>+F46-E46</f>
        <v>29.999999999999996</v>
      </c>
    </row>
    <row r="47" spans="1:19" x14ac:dyDescent="0.25">
      <c r="D47" t="s">
        <v>5</v>
      </c>
      <c r="E47" s="8">
        <v>8</v>
      </c>
      <c r="F47" s="8">
        <v>16</v>
      </c>
      <c r="G47" s="11">
        <f>+F47-E47</f>
        <v>8</v>
      </c>
    </row>
    <row r="49" spans="2:7" x14ac:dyDescent="0.25">
      <c r="D49" s="11">
        <f>+G47/G46</f>
        <v>0.26666666666666672</v>
      </c>
      <c r="E49" s="11">
        <f>+$D$43-E46</f>
        <v>11.2</v>
      </c>
      <c r="F49" s="14">
        <f>+D49*E49+E47</f>
        <v>10.986666666666668</v>
      </c>
      <c r="G49" t="s">
        <v>38</v>
      </c>
    </row>
    <row r="50" spans="2:7" x14ac:dyDescent="0.25">
      <c r="G50" t="s">
        <v>25</v>
      </c>
    </row>
    <row r="52" spans="2:7" x14ac:dyDescent="0.25">
      <c r="B52" s="317"/>
      <c r="C52" s="317"/>
      <c r="D52" s="317"/>
      <c r="E52" s="317"/>
      <c r="F52" s="317"/>
    </row>
    <row r="53" spans="2:7" x14ac:dyDescent="0.25">
      <c r="E53" s="8"/>
      <c r="F53" s="8"/>
      <c r="G53" s="11"/>
    </row>
    <row r="54" spans="2:7" x14ac:dyDescent="0.25">
      <c r="E54" s="8"/>
      <c r="F54" s="8"/>
      <c r="G54" s="11"/>
    </row>
  </sheetData>
  <mergeCells count="17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  <mergeCell ref="A2:B2"/>
    <mergeCell ref="B27:F27"/>
    <mergeCell ref="B34:F34"/>
    <mergeCell ref="B45:F45"/>
    <mergeCell ref="B52:F52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F313-08F2-40C4-AE10-8DBF473F4F42}">
  <sheetPr>
    <tabColor theme="7" tint="0.39997558519241921"/>
  </sheetPr>
  <dimension ref="A1:P27"/>
  <sheetViews>
    <sheetView showGridLines="0" workbookViewId="0">
      <selection activeCell="P22" sqref="P22:P23"/>
    </sheetView>
  </sheetViews>
  <sheetFormatPr baseColWidth="10" defaultRowHeight="15" x14ac:dyDescent="0.25"/>
  <cols>
    <col min="4" max="4" width="12.85546875" customWidth="1"/>
    <col min="6" max="6" width="14.5703125" bestFit="1" customWidth="1"/>
  </cols>
  <sheetData>
    <row r="1" spans="1:16" ht="15.75" thickBot="1" x14ac:dyDescent="0.3">
      <c r="A1" t="s">
        <v>39</v>
      </c>
    </row>
    <row r="2" spans="1:16" ht="15.75" thickTop="1" x14ac:dyDescent="0.25">
      <c r="B2" s="321"/>
      <c r="C2" s="323">
        <v>2010</v>
      </c>
      <c r="D2" s="324"/>
      <c r="E2" s="324">
        <v>2015</v>
      </c>
      <c r="F2" s="324"/>
      <c r="G2" s="324">
        <v>2020</v>
      </c>
      <c r="H2" s="325"/>
      <c r="J2" s="321"/>
      <c r="K2" s="323" t="s">
        <v>48</v>
      </c>
      <c r="L2" s="324"/>
      <c r="M2" s="324" t="s">
        <v>49</v>
      </c>
      <c r="N2" s="324"/>
      <c r="O2" s="324" t="s">
        <v>50</v>
      </c>
      <c r="P2" s="325"/>
    </row>
    <row r="3" spans="1:16" ht="15.75" thickBot="1" x14ac:dyDescent="0.3">
      <c r="B3" s="322"/>
      <c r="C3" s="47" t="s">
        <v>43</v>
      </c>
      <c r="D3" s="48" t="s">
        <v>44</v>
      </c>
      <c r="E3" s="48" t="s">
        <v>43</v>
      </c>
      <c r="F3" s="48" t="s">
        <v>44</v>
      </c>
      <c r="G3" s="48" t="s">
        <v>43</v>
      </c>
      <c r="H3" s="49" t="s">
        <v>44</v>
      </c>
      <c r="J3" s="322"/>
      <c r="K3" s="47" t="s">
        <v>43</v>
      </c>
      <c r="L3" s="48" t="s">
        <v>44</v>
      </c>
      <c r="M3" s="48" t="s">
        <v>43</v>
      </c>
      <c r="N3" s="48" t="s">
        <v>44</v>
      </c>
      <c r="O3" s="48" t="s">
        <v>43</v>
      </c>
      <c r="P3" s="49" t="s">
        <v>44</v>
      </c>
    </row>
    <row r="4" spans="1:16" ht="15.75" thickTop="1" x14ac:dyDescent="0.25">
      <c r="B4" s="44" t="s">
        <v>40</v>
      </c>
      <c r="C4" s="78">
        <v>1000</v>
      </c>
      <c r="D4" s="52">
        <v>10</v>
      </c>
      <c r="E4" s="81">
        <v>1500</v>
      </c>
      <c r="F4" s="52">
        <v>10</v>
      </c>
      <c r="G4" s="81">
        <v>1200</v>
      </c>
      <c r="H4" s="55">
        <v>13</v>
      </c>
      <c r="J4" s="44" t="s">
        <v>45</v>
      </c>
      <c r="K4" s="93">
        <v>127.5</v>
      </c>
      <c r="L4" s="94">
        <v>118.3</v>
      </c>
      <c r="M4" s="95">
        <v>119.8</v>
      </c>
      <c r="N4" s="94">
        <v>87.4</v>
      </c>
      <c r="O4" s="96">
        <v>153.30000000000001</v>
      </c>
      <c r="P4" s="97">
        <v>101.7</v>
      </c>
    </row>
    <row r="5" spans="1:16" x14ac:dyDescent="0.25">
      <c r="B5" s="45" t="s">
        <v>41</v>
      </c>
      <c r="C5" s="79">
        <v>1500</v>
      </c>
      <c r="D5" s="53">
        <v>20</v>
      </c>
      <c r="E5" s="82">
        <v>1200</v>
      </c>
      <c r="F5" s="53">
        <v>30</v>
      </c>
      <c r="G5" s="82">
        <v>1500</v>
      </c>
      <c r="H5" s="56">
        <v>24</v>
      </c>
      <c r="J5" s="45" t="s">
        <v>46</v>
      </c>
      <c r="K5" s="98">
        <v>114.1</v>
      </c>
      <c r="L5" s="99">
        <v>105.9</v>
      </c>
      <c r="M5" s="100">
        <v>115.3</v>
      </c>
      <c r="N5" s="99">
        <v>84.1</v>
      </c>
      <c r="O5" s="100">
        <v>133.80000000000001</v>
      </c>
      <c r="P5" s="101">
        <v>88.7</v>
      </c>
    </row>
    <row r="6" spans="1:16" ht="15.75" thickBot="1" x14ac:dyDescent="0.3">
      <c r="B6" s="46" t="s">
        <v>42</v>
      </c>
      <c r="C6" s="80">
        <v>800</v>
      </c>
      <c r="D6" s="54">
        <v>25</v>
      </c>
      <c r="E6" s="83">
        <v>1500</v>
      </c>
      <c r="F6" s="54">
        <v>20</v>
      </c>
      <c r="G6" s="83">
        <v>2000</v>
      </c>
      <c r="H6" s="57">
        <v>15</v>
      </c>
      <c r="J6" s="92" t="s">
        <v>47</v>
      </c>
      <c r="K6" s="102">
        <f>SQRT(K4*K5)</f>
        <v>120.61405390749455</v>
      </c>
      <c r="L6" s="102">
        <f t="shared" ref="L6:P6" si="0">SQRT(L4*L5)</f>
        <v>111.92841462291871</v>
      </c>
      <c r="M6" s="102">
        <f t="shared" si="0"/>
        <v>117.52846463729541</v>
      </c>
      <c r="N6" s="102">
        <f t="shared" si="0"/>
        <v>85.734123894747995</v>
      </c>
      <c r="O6" s="102">
        <f t="shared" si="0"/>
        <v>143.21850439101786</v>
      </c>
      <c r="P6" s="103">
        <f t="shared" si="0"/>
        <v>94.977839520595538</v>
      </c>
    </row>
    <row r="7" spans="1:16" ht="16.5" thickTop="1" thickBot="1" x14ac:dyDescent="0.3"/>
    <row r="8" spans="1:16" ht="16.5" thickTop="1" thickBot="1" x14ac:dyDescent="0.3">
      <c r="B8" s="20" t="s">
        <v>45</v>
      </c>
      <c r="C8" s="20" t="s">
        <v>51</v>
      </c>
      <c r="D8" s="63" t="s">
        <v>40</v>
      </c>
      <c r="E8" s="64" t="s">
        <v>41</v>
      </c>
      <c r="F8" s="65" t="s">
        <v>42</v>
      </c>
      <c r="H8" s="20" t="s">
        <v>64</v>
      </c>
      <c r="I8" s="20" t="s">
        <v>51</v>
      </c>
      <c r="J8" s="63" t="s">
        <v>40</v>
      </c>
      <c r="K8" s="64" t="s">
        <v>41</v>
      </c>
      <c r="L8" s="65" t="s">
        <v>42</v>
      </c>
    </row>
    <row r="9" spans="1:16" ht="15.75" thickTop="1" x14ac:dyDescent="0.25">
      <c r="B9" s="326" t="s">
        <v>52</v>
      </c>
      <c r="C9" s="327"/>
      <c r="D9" s="68">
        <v>13</v>
      </c>
      <c r="E9" s="68">
        <v>24</v>
      </c>
      <c r="F9" s="69">
        <v>15</v>
      </c>
      <c r="G9" s="43"/>
      <c r="H9" s="326" t="s">
        <v>52</v>
      </c>
      <c r="I9" s="327"/>
      <c r="J9" s="68">
        <v>10</v>
      </c>
      <c r="K9" s="68">
        <v>30</v>
      </c>
      <c r="L9" s="69">
        <v>20</v>
      </c>
      <c r="M9" s="43"/>
    </row>
    <row r="10" spans="1:16" x14ac:dyDescent="0.25">
      <c r="B10" s="328" t="s">
        <v>53</v>
      </c>
      <c r="C10" s="329"/>
      <c r="D10" s="84">
        <v>1500</v>
      </c>
      <c r="E10" s="85">
        <v>1200</v>
      </c>
      <c r="F10" s="86">
        <v>1500</v>
      </c>
      <c r="H10" s="328" t="s">
        <v>61</v>
      </c>
      <c r="I10" s="329"/>
      <c r="J10" s="84">
        <v>1500</v>
      </c>
      <c r="K10" s="85">
        <v>1200</v>
      </c>
      <c r="L10" s="86">
        <v>1500</v>
      </c>
    </row>
    <row r="11" spans="1:16" x14ac:dyDescent="0.25">
      <c r="B11" s="330" t="s">
        <v>56</v>
      </c>
      <c r="C11" s="331"/>
      <c r="D11" s="90">
        <f>+D9*D10+E9*E10+F9*F10</f>
        <v>70800</v>
      </c>
      <c r="E11" s="90"/>
      <c r="F11" s="91"/>
      <c r="G11" s="50"/>
      <c r="H11" s="330" t="s">
        <v>66</v>
      </c>
      <c r="I11" s="331"/>
      <c r="J11" s="90">
        <f>+J9*J10+K9*K10+L9*L10</f>
        <v>81000</v>
      </c>
      <c r="K11" s="90"/>
      <c r="L11" s="91"/>
      <c r="M11" s="50"/>
      <c r="N11" s="50"/>
      <c r="O11" s="50"/>
      <c r="P11" s="50"/>
    </row>
    <row r="12" spans="1:16" x14ac:dyDescent="0.25">
      <c r="B12" s="332" t="s">
        <v>55</v>
      </c>
      <c r="C12" s="333"/>
      <c r="D12" s="71">
        <v>10</v>
      </c>
      <c r="E12" s="71">
        <v>30</v>
      </c>
      <c r="F12" s="72">
        <v>20</v>
      </c>
      <c r="G12" s="50"/>
      <c r="H12" s="332" t="s">
        <v>55</v>
      </c>
      <c r="I12" s="333"/>
      <c r="J12" s="71">
        <v>10</v>
      </c>
      <c r="K12" s="71">
        <v>20</v>
      </c>
      <c r="L12" s="72">
        <v>25</v>
      </c>
      <c r="M12" s="50"/>
      <c r="N12" s="50"/>
      <c r="O12" s="50"/>
      <c r="P12" s="50"/>
    </row>
    <row r="13" spans="1:16" x14ac:dyDescent="0.25">
      <c r="B13" s="334" t="s">
        <v>53</v>
      </c>
      <c r="C13" s="335"/>
      <c r="D13" s="85">
        <v>1500</v>
      </c>
      <c r="E13" s="85">
        <v>1200</v>
      </c>
      <c r="F13" s="87">
        <v>1500</v>
      </c>
      <c r="H13" s="334" t="s">
        <v>61</v>
      </c>
      <c r="I13" s="335"/>
      <c r="J13" s="85">
        <v>1500</v>
      </c>
      <c r="K13" s="85">
        <v>1200</v>
      </c>
      <c r="L13" s="87">
        <v>1500</v>
      </c>
      <c r="N13" s="50"/>
      <c r="O13" s="50"/>
      <c r="P13" s="50"/>
    </row>
    <row r="14" spans="1:16" x14ac:dyDescent="0.25">
      <c r="B14" s="344" t="s">
        <v>57</v>
      </c>
      <c r="C14" s="345"/>
      <c r="D14" s="61">
        <f>+D12*D13+E12*E13+F12*F13</f>
        <v>81000</v>
      </c>
      <c r="E14" s="59"/>
      <c r="F14" s="70"/>
      <c r="H14" s="344" t="s">
        <v>57</v>
      </c>
      <c r="I14" s="345"/>
      <c r="J14" s="61">
        <f>+J12*J13+K12*K13+L12*L13</f>
        <v>76500</v>
      </c>
      <c r="K14" s="59"/>
      <c r="L14" s="70"/>
    </row>
    <row r="15" spans="1:16" x14ac:dyDescent="0.25">
      <c r="B15" s="336" t="s">
        <v>58</v>
      </c>
      <c r="C15" s="337"/>
      <c r="D15" s="61">
        <f>+D11/D14</f>
        <v>0.87407407407407411</v>
      </c>
      <c r="E15" s="59"/>
      <c r="F15" s="70"/>
      <c r="H15" s="336" t="s">
        <v>58</v>
      </c>
      <c r="I15" s="337"/>
      <c r="J15" s="61">
        <f>+J11/J14</f>
        <v>1.0588235294117647</v>
      </c>
      <c r="K15" s="59"/>
      <c r="L15" s="70"/>
    </row>
    <row r="16" spans="1:16" ht="15.75" thickBot="1" x14ac:dyDescent="0.3">
      <c r="B16" s="338" t="s">
        <v>59</v>
      </c>
      <c r="C16" s="339"/>
      <c r="D16" s="62">
        <f>+D15*100</f>
        <v>87.407407407407405</v>
      </c>
      <c r="E16" s="60"/>
      <c r="F16" s="67">
        <f>+D16-100</f>
        <v>-12.592592592592595</v>
      </c>
      <c r="G16" t="s">
        <v>63</v>
      </c>
      <c r="H16" s="338" t="s">
        <v>59</v>
      </c>
      <c r="I16" s="339"/>
      <c r="J16" s="62">
        <f>+J15*100</f>
        <v>105.88235294117648</v>
      </c>
      <c r="K16" s="60"/>
      <c r="L16" s="67">
        <f>+J16-100</f>
        <v>5.8823529411764781</v>
      </c>
      <c r="M16" t="s">
        <v>63</v>
      </c>
    </row>
    <row r="17" spans="2:12" ht="16.5" thickTop="1" thickBot="1" x14ac:dyDescent="0.3">
      <c r="D17" s="51"/>
      <c r="E17" s="51"/>
      <c r="F17" s="51"/>
    </row>
    <row r="18" spans="2:12" ht="16.5" thickTop="1" thickBot="1" x14ac:dyDescent="0.3">
      <c r="B18" s="20" t="s">
        <v>45</v>
      </c>
      <c r="C18" s="20" t="s">
        <v>60</v>
      </c>
      <c r="D18" s="73" t="s">
        <v>40</v>
      </c>
      <c r="E18" s="74" t="s">
        <v>41</v>
      </c>
      <c r="F18" s="75" t="s">
        <v>42</v>
      </c>
      <c r="H18" s="20" t="s">
        <v>64</v>
      </c>
      <c r="I18" s="20" t="s">
        <v>65</v>
      </c>
      <c r="J18" s="73" t="s">
        <v>40</v>
      </c>
      <c r="K18" s="74" t="s">
        <v>41</v>
      </c>
      <c r="L18" s="75" t="s">
        <v>42</v>
      </c>
    </row>
    <row r="19" spans="2:12" ht="15.75" thickTop="1" x14ac:dyDescent="0.25">
      <c r="B19" s="340" t="s">
        <v>61</v>
      </c>
      <c r="C19" s="341"/>
      <c r="D19" s="88">
        <v>1200</v>
      </c>
      <c r="E19" s="88">
        <v>1500</v>
      </c>
      <c r="F19" s="89">
        <v>2000</v>
      </c>
      <c r="H19" s="340" t="s">
        <v>61</v>
      </c>
      <c r="I19" s="341"/>
      <c r="J19" s="88">
        <v>1500</v>
      </c>
      <c r="K19" s="88">
        <v>1200</v>
      </c>
      <c r="L19" s="89">
        <v>1500</v>
      </c>
    </row>
    <row r="20" spans="2:12" x14ac:dyDescent="0.25">
      <c r="B20" s="342" t="s">
        <v>54</v>
      </c>
      <c r="C20" s="343"/>
      <c r="D20" s="76">
        <v>10</v>
      </c>
      <c r="E20" s="71">
        <v>30</v>
      </c>
      <c r="F20" s="77">
        <v>20</v>
      </c>
      <c r="H20" s="342" t="s">
        <v>52</v>
      </c>
      <c r="I20" s="343"/>
      <c r="J20" s="76">
        <v>10</v>
      </c>
      <c r="K20" s="71">
        <v>30</v>
      </c>
      <c r="L20" s="77">
        <v>20</v>
      </c>
    </row>
    <row r="21" spans="2:12" x14ac:dyDescent="0.25">
      <c r="B21" s="330" t="s">
        <v>56</v>
      </c>
      <c r="C21" s="331"/>
      <c r="D21" s="90">
        <f>+D19*D20+E19*E20+F19*F20</f>
        <v>97000</v>
      </c>
      <c r="E21" s="90"/>
      <c r="F21" s="91"/>
      <c r="H21" s="330" t="s">
        <v>56</v>
      </c>
      <c r="I21" s="331"/>
      <c r="J21" s="90">
        <f>+J19*J20+K19*K20+L19*L20</f>
        <v>81000</v>
      </c>
      <c r="K21" s="90"/>
      <c r="L21" s="91"/>
    </row>
    <row r="22" spans="2:12" x14ac:dyDescent="0.25">
      <c r="B22" s="334" t="s">
        <v>62</v>
      </c>
      <c r="C22" s="335"/>
      <c r="D22" s="85">
        <v>1500</v>
      </c>
      <c r="E22" s="85">
        <v>1200</v>
      </c>
      <c r="F22" s="87">
        <v>1500</v>
      </c>
      <c r="H22" s="334" t="s">
        <v>62</v>
      </c>
      <c r="I22" s="335"/>
      <c r="J22" s="85">
        <v>1000</v>
      </c>
      <c r="K22" s="85">
        <v>1500</v>
      </c>
      <c r="L22" s="87">
        <v>800</v>
      </c>
    </row>
    <row r="23" spans="2:12" x14ac:dyDescent="0.25">
      <c r="B23" s="332" t="s">
        <v>55</v>
      </c>
      <c r="C23" s="333"/>
      <c r="D23" s="71">
        <v>10</v>
      </c>
      <c r="E23" s="71">
        <v>30</v>
      </c>
      <c r="F23" s="72">
        <v>20</v>
      </c>
      <c r="H23" s="332" t="s">
        <v>67</v>
      </c>
      <c r="I23" s="333"/>
      <c r="J23" s="71">
        <v>10</v>
      </c>
      <c r="K23" s="71">
        <v>30</v>
      </c>
      <c r="L23" s="72">
        <v>20</v>
      </c>
    </row>
    <row r="24" spans="2:12" x14ac:dyDescent="0.25">
      <c r="B24" s="344" t="s">
        <v>57</v>
      </c>
      <c r="C24" s="345"/>
      <c r="D24" s="61">
        <f>+D22*D23+E22*E23+F22*F23</f>
        <v>81000</v>
      </c>
      <c r="E24" s="59"/>
      <c r="F24" s="70"/>
      <c r="H24" s="344" t="s">
        <v>57</v>
      </c>
      <c r="I24" s="345"/>
      <c r="J24" s="61">
        <f>+J22*J23+K22*K23+L22*L23</f>
        <v>71000</v>
      </c>
      <c r="K24" s="59"/>
      <c r="L24" s="70"/>
    </row>
    <row r="25" spans="2:12" x14ac:dyDescent="0.25">
      <c r="B25" s="336" t="s">
        <v>58</v>
      </c>
      <c r="C25" s="337"/>
      <c r="D25" s="61">
        <f>+D21/D24</f>
        <v>1.1975308641975309</v>
      </c>
      <c r="E25" s="59"/>
      <c r="F25" s="70"/>
      <c r="H25" s="336" t="s">
        <v>58</v>
      </c>
      <c r="I25" s="337"/>
      <c r="J25" s="61">
        <f>+J21/J24</f>
        <v>1.1408450704225352</v>
      </c>
      <c r="K25" s="59"/>
      <c r="L25" s="70"/>
    </row>
    <row r="26" spans="2:12" ht="15.75" thickBot="1" x14ac:dyDescent="0.3">
      <c r="B26" s="338" t="s">
        <v>59</v>
      </c>
      <c r="C26" s="339"/>
      <c r="D26" s="62">
        <f>+D25*100</f>
        <v>119.75308641975309</v>
      </c>
      <c r="E26" s="60"/>
      <c r="F26" s="66">
        <f>+D26-100</f>
        <v>19.753086419753089</v>
      </c>
      <c r="G26" t="s">
        <v>63</v>
      </c>
      <c r="H26" s="338" t="s">
        <v>59</v>
      </c>
      <c r="I26" s="339"/>
      <c r="J26" s="62">
        <f>+J25*100</f>
        <v>114.08450704225352</v>
      </c>
      <c r="K26" s="60"/>
      <c r="L26" s="66">
        <f>+J26-100</f>
        <v>14.08450704225352</v>
      </c>
    </row>
    <row r="27" spans="2:12" ht="15.75" thickTop="1" x14ac:dyDescent="0.25"/>
  </sheetData>
  <mergeCells count="40">
    <mergeCell ref="H25:I25"/>
    <mergeCell ref="H26:I26"/>
    <mergeCell ref="H19:I19"/>
    <mergeCell ref="H20:I20"/>
    <mergeCell ref="H21:I21"/>
    <mergeCell ref="H22:I22"/>
    <mergeCell ref="H23:I23"/>
    <mergeCell ref="H24:I24"/>
    <mergeCell ref="H9:I9"/>
    <mergeCell ref="H10:I10"/>
    <mergeCell ref="H11:I11"/>
    <mergeCell ref="H12:I12"/>
    <mergeCell ref="H13:I13"/>
    <mergeCell ref="H14:I14"/>
    <mergeCell ref="H15:I15"/>
    <mergeCell ref="H16:I16"/>
    <mergeCell ref="B23:C23"/>
    <mergeCell ref="B24:C24"/>
    <mergeCell ref="B14:C14"/>
    <mergeCell ref="B25:C25"/>
    <mergeCell ref="B26:C26"/>
    <mergeCell ref="B15:C15"/>
    <mergeCell ref="B16:C16"/>
    <mergeCell ref="B19:C19"/>
    <mergeCell ref="B20:C20"/>
    <mergeCell ref="B21:C21"/>
    <mergeCell ref="B22:C22"/>
    <mergeCell ref="B9:C9"/>
    <mergeCell ref="B10:C10"/>
    <mergeCell ref="B11:C11"/>
    <mergeCell ref="B12:C12"/>
    <mergeCell ref="B13:C13"/>
    <mergeCell ref="B2:B3"/>
    <mergeCell ref="J2:J3"/>
    <mergeCell ref="K2:L2"/>
    <mergeCell ref="M2:N2"/>
    <mergeCell ref="O2:P2"/>
    <mergeCell ref="C2:D2"/>
    <mergeCell ref="E2:F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1C6D-B38C-4047-AB7E-4DFA607B0E1C}">
  <sheetPr>
    <tabColor theme="6" tint="-0.249977111117893"/>
  </sheetPr>
  <dimension ref="A1:L22"/>
  <sheetViews>
    <sheetView showGridLines="0" workbookViewId="0">
      <selection activeCell="I31" sqref="I31"/>
    </sheetView>
  </sheetViews>
  <sheetFormatPr baseColWidth="10" defaultRowHeight="15" x14ac:dyDescent="0.25"/>
  <cols>
    <col min="1" max="1" width="40.42578125" style="112" customWidth="1"/>
  </cols>
  <sheetData>
    <row r="1" spans="1:12" ht="15.75" thickBot="1" x14ac:dyDescent="0.3">
      <c r="B1" s="354" t="s">
        <v>73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2" ht="16.5" thickTop="1" thickBot="1" x14ac:dyDescent="0.3">
      <c r="B2" s="106">
        <v>2010</v>
      </c>
      <c r="C2" s="107">
        <v>2015</v>
      </c>
      <c r="D2" s="108">
        <v>2020</v>
      </c>
      <c r="E2" s="108"/>
      <c r="F2" s="108"/>
      <c r="G2" s="108"/>
      <c r="H2" s="108"/>
      <c r="I2" s="108"/>
      <c r="J2" s="108"/>
      <c r="K2" s="108"/>
    </row>
    <row r="3" spans="1:12" ht="16.5" thickTop="1" thickBot="1" x14ac:dyDescent="0.3">
      <c r="B3" s="109">
        <v>0.6</v>
      </c>
      <c r="C3" s="110">
        <v>-0.4</v>
      </c>
      <c r="D3" s="111">
        <v>0.08</v>
      </c>
      <c r="E3" s="111"/>
      <c r="F3" s="111"/>
      <c r="G3" s="111"/>
      <c r="H3" s="111"/>
      <c r="I3" s="111"/>
      <c r="J3" s="111"/>
      <c r="K3" s="111"/>
    </row>
    <row r="4" spans="1:12" ht="15.75" thickTop="1" x14ac:dyDescent="0.25">
      <c r="B4" s="16">
        <f>+B3</f>
        <v>0.6</v>
      </c>
      <c r="C4" s="16">
        <f t="shared" ref="C4:K4" si="0">+C3</f>
        <v>-0.4</v>
      </c>
      <c r="D4" s="16">
        <f t="shared" si="0"/>
        <v>0.08</v>
      </c>
      <c r="E4" s="16">
        <f t="shared" si="0"/>
        <v>0</v>
      </c>
      <c r="F4" s="16">
        <f t="shared" si="0"/>
        <v>0</v>
      </c>
      <c r="G4" s="16">
        <f t="shared" si="0"/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16">
        <f t="shared" si="0"/>
        <v>0</v>
      </c>
    </row>
    <row r="5" spans="1:12" x14ac:dyDescent="0.25">
      <c r="A5" s="113" t="s">
        <v>70</v>
      </c>
      <c r="B5" s="16">
        <f>1+B4</f>
        <v>1.6</v>
      </c>
      <c r="C5" s="16">
        <f t="shared" ref="C5:K5" si="1">1+C4</f>
        <v>0.6</v>
      </c>
      <c r="D5" s="16">
        <f t="shared" si="1"/>
        <v>1.08</v>
      </c>
      <c r="E5" s="16">
        <f t="shared" si="1"/>
        <v>1</v>
      </c>
      <c r="F5" s="16">
        <f t="shared" si="1"/>
        <v>1</v>
      </c>
      <c r="G5" s="16">
        <f t="shared" si="1"/>
        <v>1</v>
      </c>
      <c r="H5" s="16">
        <f t="shared" si="1"/>
        <v>1</v>
      </c>
      <c r="I5" s="16">
        <f t="shared" si="1"/>
        <v>1</v>
      </c>
      <c r="J5" s="16">
        <f t="shared" si="1"/>
        <v>1</v>
      </c>
      <c r="K5" s="16">
        <f t="shared" si="1"/>
        <v>1</v>
      </c>
    </row>
    <row r="6" spans="1:12" x14ac:dyDescent="0.25">
      <c r="A6" s="112" t="s">
        <v>68</v>
      </c>
      <c r="B6" s="346">
        <f>+B5*C5*D5*E5*F5*G5*H5*I5*J5*K5</f>
        <v>1.0367999999999999</v>
      </c>
      <c r="C6" s="346"/>
      <c r="D6" s="346"/>
      <c r="E6" s="346"/>
      <c r="F6" s="346"/>
      <c r="G6" s="346"/>
      <c r="H6" s="346"/>
      <c r="I6" s="346"/>
      <c r="J6" s="346"/>
      <c r="K6" s="346"/>
    </row>
    <row r="7" spans="1:12" x14ac:dyDescent="0.25">
      <c r="A7" s="113" t="s">
        <v>71</v>
      </c>
      <c r="B7" s="353">
        <f>+B6-1</f>
        <v>3.6799999999999944E-2</v>
      </c>
      <c r="C7" s="353"/>
      <c r="D7" s="353"/>
      <c r="E7" s="353"/>
      <c r="F7" s="353"/>
      <c r="G7" s="353"/>
      <c r="H7" s="353"/>
      <c r="I7" s="353"/>
      <c r="J7" s="353"/>
      <c r="K7" s="353"/>
    </row>
    <row r="8" spans="1:12" x14ac:dyDescent="0.25">
      <c r="A8" s="112" t="s">
        <v>69</v>
      </c>
      <c r="B8" s="349">
        <f>+B7</f>
        <v>3.6799999999999944E-2</v>
      </c>
      <c r="C8" s="349"/>
      <c r="D8" s="349"/>
      <c r="E8" s="349"/>
      <c r="F8" s="349"/>
      <c r="G8" s="349"/>
      <c r="H8" s="349"/>
      <c r="I8" s="349"/>
      <c r="J8" s="349"/>
      <c r="K8" s="349"/>
    </row>
    <row r="11" spans="1:12" ht="15.75" thickBot="1" x14ac:dyDescent="0.3">
      <c r="B11" s="354" t="s">
        <v>74</v>
      </c>
      <c r="C11" s="354"/>
      <c r="D11" s="354"/>
      <c r="E11" s="354"/>
      <c r="F11" s="354"/>
      <c r="G11" s="354"/>
      <c r="H11" s="354"/>
      <c r="I11" s="354"/>
      <c r="J11" s="354"/>
      <c r="K11" s="354"/>
    </row>
    <row r="12" spans="1:12" ht="16.5" thickTop="1" thickBot="1" x14ac:dyDescent="0.3">
      <c r="B12" s="106">
        <v>2010</v>
      </c>
      <c r="C12" s="107">
        <v>2015</v>
      </c>
      <c r="D12" s="108">
        <v>2020</v>
      </c>
      <c r="E12" s="108"/>
      <c r="F12" s="108"/>
      <c r="G12" s="108"/>
      <c r="H12" s="108"/>
      <c r="I12" s="108"/>
      <c r="J12" s="108"/>
      <c r="K12" s="108"/>
      <c r="L12" s="8" t="s">
        <v>75</v>
      </c>
    </row>
    <row r="13" spans="1:12" ht="16.5" thickTop="1" thickBot="1" x14ac:dyDescent="0.3">
      <c r="B13" s="109">
        <v>0.6</v>
      </c>
      <c r="C13" s="110">
        <v>-0.4</v>
      </c>
      <c r="D13" s="111">
        <v>0.08</v>
      </c>
      <c r="E13" s="111"/>
      <c r="F13" s="111"/>
      <c r="G13" s="111"/>
      <c r="H13" s="111"/>
      <c r="I13" s="111"/>
      <c r="J13" s="111"/>
      <c r="K13" s="111"/>
      <c r="L13" s="104">
        <f>COUNTA(B13:K13)</f>
        <v>3</v>
      </c>
    </row>
    <row r="14" spans="1:12" ht="15.75" thickTop="1" x14ac:dyDescent="0.25">
      <c r="B14" s="16">
        <f>+B13</f>
        <v>0.6</v>
      </c>
      <c r="C14" s="16">
        <f t="shared" ref="C14:K14" si="2">+C13</f>
        <v>-0.4</v>
      </c>
      <c r="D14" s="16">
        <f t="shared" si="2"/>
        <v>0.08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</row>
    <row r="15" spans="1:12" x14ac:dyDescent="0.25">
      <c r="A15" s="113" t="s">
        <v>70</v>
      </c>
      <c r="B15" s="16">
        <f>1+B14</f>
        <v>1.6</v>
      </c>
      <c r="C15" s="16">
        <f t="shared" ref="C15:K15" si="3">1+C14</f>
        <v>0.6</v>
      </c>
      <c r="D15" s="16">
        <f t="shared" si="3"/>
        <v>1.08</v>
      </c>
      <c r="E15" s="16">
        <f t="shared" si="3"/>
        <v>1</v>
      </c>
      <c r="F15" s="16">
        <f t="shared" si="3"/>
        <v>1</v>
      </c>
      <c r="G15" s="16">
        <f t="shared" si="3"/>
        <v>1</v>
      </c>
      <c r="H15" s="16">
        <f t="shared" si="3"/>
        <v>1</v>
      </c>
      <c r="I15" s="16">
        <f t="shared" si="3"/>
        <v>1</v>
      </c>
      <c r="J15" s="16">
        <f t="shared" si="3"/>
        <v>1</v>
      </c>
      <c r="K15" s="16">
        <f t="shared" si="3"/>
        <v>1</v>
      </c>
    </row>
    <row r="16" spans="1:12" x14ac:dyDescent="0.25">
      <c r="A16" s="112" t="s">
        <v>68</v>
      </c>
      <c r="B16" s="346">
        <f>+B15*C15*D15*E15*F15*G15*H15*I15*J15*K15</f>
        <v>1.0367999999999999</v>
      </c>
      <c r="C16" s="346"/>
      <c r="D16" s="346"/>
      <c r="E16" s="346"/>
      <c r="F16" s="346"/>
      <c r="G16" s="346"/>
      <c r="H16" s="346"/>
      <c r="I16" s="346"/>
      <c r="J16" s="346"/>
      <c r="K16" s="346"/>
    </row>
    <row r="17" spans="1:11" x14ac:dyDescent="0.25">
      <c r="A17" s="112" t="s">
        <v>76</v>
      </c>
      <c r="B17" s="347">
        <f>POWER(B16,1/3)</f>
        <v>1.0121191983620992</v>
      </c>
      <c r="C17" s="347"/>
      <c r="D17" s="347"/>
      <c r="E17" s="347"/>
      <c r="F17" s="347"/>
      <c r="G17" s="347"/>
      <c r="H17" s="347"/>
      <c r="I17" s="347"/>
      <c r="J17" s="347"/>
      <c r="K17" s="347"/>
    </row>
    <row r="18" spans="1:11" x14ac:dyDescent="0.25">
      <c r="A18" s="113" t="s">
        <v>72</v>
      </c>
      <c r="B18" s="348">
        <f>+B17-1</f>
        <v>1.2119198362099182E-2</v>
      </c>
      <c r="C18" s="348"/>
      <c r="D18" s="348"/>
      <c r="E18" s="348"/>
      <c r="F18" s="348"/>
      <c r="G18" s="348"/>
      <c r="H18" s="348"/>
      <c r="I18" s="348"/>
      <c r="J18" s="348"/>
      <c r="K18" s="348"/>
    </row>
    <row r="19" spans="1:11" x14ac:dyDescent="0.25">
      <c r="A19" s="112" t="s">
        <v>69</v>
      </c>
      <c r="B19" s="349">
        <f>+B18</f>
        <v>1.2119198362099182E-2</v>
      </c>
      <c r="C19" s="349"/>
      <c r="D19" s="349"/>
      <c r="E19" s="349"/>
      <c r="F19" s="349"/>
      <c r="G19" s="349"/>
      <c r="H19" s="349"/>
      <c r="I19" s="349"/>
      <c r="J19" s="349"/>
      <c r="K19" s="349"/>
    </row>
    <row r="21" spans="1:11" x14ac:dyDescent="0.25">
      <c r="B21" s="351" t="s">
        <v>78</v>
      </c>
      <c r="C21" s="351"/>
      <c r="D21" s="351" t="s">
        <v>79</v>
      </c>
      <c r="E21" s="351"/>
      <c r="F21" s="351" t="s">
        <v>77</v>
      </c>
      <c r="G21" s="351"/>
    </row>
    <row r="22" spans="1:11" x14ac:dyDescent="0.25">
      <c r="B22" s="350">
        <f>+B8</f>
        <v>3.6799999999999944E-2</v>
      </c>
      <c r="C22" s="350"/>
      <c r="D22" s="350">
        <f>+B19*L13</f>
        <v>3.6357595086297545E-2</v>
      </c>
      <c r="E22" s="350"/>
      <c r="F22" s="352">
        <f>+B22-D22</f>
        <v>4.4240491370239887E-4</v>
      </c>
      <c r="G22" s="320"/>
    </row>
  </sheetData>
  <mergeCells count="15">
    <mergeCell ref="B6:K6"/>
    <mergeCell ref="B7:K7"/>
    <mergeCell ref="B8:K8"/>
    <mergeCell ref="B1:K1"/>
    <mergeCell ref="B11:K11"/>
    <mergeCell ref="B16:K16"/>
    <mergeCell ref="B17:K17"/>
    <mergeCell ref="B18:K18"/>
    <mergeCell ref="B19:K19"/>
    <mergeCell ref="B22:C22"/>
    <mergeCell ref="B21:C21"/>
    <mergeCell ref="D21:E21"/>
    <mergeCell ref="D22:E22"/>
    <mergeCell ref="F21:G21"/>
    <mergeCell ref="F22:G2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29B7-617D-4DCD-AF2F-EE72D1145E51}">
  <sheetPr>
    <tabColor theme="5" tint="-0.249977111117893"/>
  </sheetPr>
  <dimension ref="A1:R24"/>
  <sheetViews>
    <sheetView showGridLines="0" zoomScale="110" zoomScaleNormal="110" workbookViewId="0">
      <selection activeCell="H23" sqref="H23"/>
    </sheetView>
  </sheetViews>
  <sheetFormatPr baseColWidth="10" defaultRowHeight="15" x14ac:dyDescent="0.25"/>
  <cols>
    <col min="9" max="9" width="5.42578125" style="6" customWidth="1"/>
    <col min="16" max="16" width="2.5703125" customWidth="1"/>
    <col min="17" max="18" width="5.140625" customWidth="1"/>
  </cols>
  <sheetData>
    <row r="1" spans="1:18" ht="15.75" thickBot="1" x14ac:dyDescent="0.3"/>
    <row r="2" spans="1:18" ht="16.5" thickTop="1" thickBot="1" x14ac:dyDescent="0.3">
      <c r="A2" s="106" t="s">
        <v>80</v>
      </c>
      <c r="B2" s="107" t="s">
        <v>81</v>
      </c>
      <c r="C2" s="105"/>
      <c r="D2" s="107" t="s">
        <v>77</v>
      </c>
      <c r="E2" s="108" t="s">
        <v>87</v>
      </c>
      <c r="G2" s="359" t="s">
        <v>95</v>
      </c>
      <c r="H2" s="360"/>
      <c r="I2" s="361" t="s">
        <v>98</v>
      </c>
      <c r="J2" s="134"/>
      <c r="K2" s="365" t="s">
        <v>82</v>
      </c>
      <c r="L2" s="365"/>
      <c r="M2" s="365"/>
      <c r="N2" s="365"/>
      <c r="O2" s="366"/>
      <c r="Q2" t="s">
        <v>90</v>
      </c>
      <c r="R2">
        <f>+H3</f>
        <v>8</v>
      </c>
    </row>
    <row r="3" spans="1:18" ht="15.75" thickTop="1" x14ac:dyDescent="0.25">
      <c r="A3" s="124">
        <v>4</v>
      </c>
      <c r="B3" s="125">
        <v>6</v>
      </c>
      <c r="C3" s="125">
        <v>15</v>
      </c>
      <c r="D3" s="118">
        <f>+B3-A3</f>
        <v>2</v>
      </c>
      <c r="E3" s="119">
        <f>+C3/D3</f>
        <v>7.5</v>
      </c>
      <c r="G3" s="116" t="s">
        <v>90</v>
      </c>
      <c r="H3" s="119">
        <f>+A5</f>
        <v>8</v>
      </c>
      <c r="I3" s="362"/>
      <c r="J3" s="135"/>
      <c r="K3" s="367" t="s">
        <v>83</v>
      </c>
      <c r="L3" s="367"/>
      <c r="M3" s="367"/>
      <c r="N3" s="367"/>
      <c r="O3" s="368"/>
      <c r="Q3" t="s">
        <v>101</v>
      </c>
      <c r="R3">
        <f>+H6-H5</f>
        <v>5</v>
      </c>
    </row>
    <row r="4" spans="1:18" ht="15.75" thickBot="1" x14ac:dyDescent="0.3">
      <c r="A4" s="139">
        <v>6</v>
      </c>
      <c r="B4" s="137">
        <v>8</v>
      </c>
      <c r="C4" s="127">
        <v>40</v>
      </c>
      <c r="D4" s="120">
        <f t="shared" ref="D4:D8" si="0">+B4-A4</f>
        <v>2</v>
      </c>
      <c r="E4" s="141">
        <f t="shared" ref="E4:E8" si="1">+C4/D4</f>
        <v>20</v>
      </c>
      <c r="G4" s="115" t="s">
        <v>91</v>
      </c>
      <c r="H4" s="121">
        <f>+B5</f>
        <v>10</v>
      </c>
      <c r="I4" s="362"/>
      <c r="J4" s="135" t="s">
        <v>77</v>
      </c>
      <c r="K4" s="367" t="s">
        <v>88</v>
      </c>
      <c r="L4" s="367"/>
      <c r="M4" s="367"/>
      <c r="N4" s="367"/>
      <c r="O4" s="368"/>
      <c r="Q4" t="s">
        <v>102</v>
      </c>
      <c r="R4">
        <f>+H6-H7</f>
        <v>11</v>
      </c>
    </row>
    <row r="5" spans="1:18" ht="16.5" thickTop="1" thickBot="1" x14ac:dyDescent="0.3">
      <c r="A5" s="146">
        <v>8</v>
      </c>
      <c r="B5" s="147">
        <v>10</v>
      </c>
      <c r="C5" s="143">
        <v>50</v>
      </c>
      <c r="D5" s="140">
        <f t="shared" si="0"/>
        <v>2</v>
      </c>
      <c r="E5" s="142">
        <f t="shared" si="1"/>
        <v>25</v>
      </c>
      <c r="G5" s="115" t="s">
        <v>93</v>
      </c>
      <c r="H5" s="121">
        <f>+E4</f>
        <v>20</v>
      </c>
      <c r="I5" s="362"/>
      <c r="J5" s="148" t="s">
        <v>87</v>
      </c>
      <c r="K5" s="367"/>
      <c r="L5" s="367"/>
      <c r="M5" s="367"/>
      <c r="N5" s="367"/>
      <c r="O5" s="368"/>
      <c r="Q5" t="s">
        <v>103</v>
      </c>
      <c r="R5">
        <f>+H4-H3</f>
        <v>2</v>
      </c>
    </row>
    <row r="6" spans="1:18" ht="16.5" thickTop="1" thickBot="1" x14ac:dyDescent="0.3">
      <c r="A6" s="144">
        <v>10</v>
      </c>
      <c r="B6" s="145">
        <v>15</v>
      </c>
      <c r="C6" s="138">
        <v>70</v>
      </c>
      <c r="D6" s="136">
        <f t="shared" si="0"/>
        <v>5</v>
      </c>
      <c r="E6" s="119">
        <f t="shared" si="1"/>
        <v>14</v>
      </c>
      <c r="G6" s="115" t="s">
        <v>92</v>
      </c>
      <c r="H6" s="121">
        <f>+E5</f>
        <v>25</v>
      </c>
      <c r="I6" s="363"/>
      <c r="J6" s="369" t="s">
        <v>85</v>
      </c>
      <c r="K6" s="371" t="s">
        <v>100</v>
      </c>
      <c r="L6" s="372"/>
      <c r="M6" s="372"/>
      <c r="N6" s="372"/>
      <c r="O6" s="373"/>
    </row>
    <row r="7" spans="1:18" ht="16.5" thickTop="1" thickBot="1" x14ac:dyDescent="0.3">
      <c r="A7" s="124">
        <v>15</v>
      </c>
      <c r="B7" s="125">
        <v>20</v>
      </c>
      <c r="C7" s="125">
        <v>20</v>
      </c>
      <c r="D7" s="120">
        <f t="shared" si="0"/>
        <v>5</v>
      </c>
      <c r="E7" s="121">
        <f t="shared" si="1"/>
        <v>4</v>
      </c>
      <c r="G7" s="115" t="s">
        <v>94</v>
      </c>
      <c r="H7" s="121">
        <f>+E6</f>
        <v>14</v>
      </c>
      <c r="I7" s="363"/>
      <c r="J7" s="370"/>
      <c r="K7" s="374"/>
      <c r="L7" s="375"/>
      <c r="M7" s="375"/>
      <c r="N7" s="375"/>
      <c r="O7" s="376"/>
    </row>
    <row r="8" spans="1:18" ht="16.5" thickTop="1" thickBot="1" x14ac:dyDescent="0.3">
      <c r="A8" s="128">
        <v>20</v>
      </c>
      <c r="B8" s="129">
        <v>30</v>
      </c>
      <c r="C8" s="129">
        <v>5</v>
      </c>
      <c r="D8" s="122">
        <f t="shared" si="0"/>
        <v>10</v>
      </c>
      <c r="E8" s="123">
        <f t="shared" si="1"/>
        <v>0.5</v>
      </c>
      <c r="G8" s="58"/>
      <c r="H8" s="131"/>
      <c r="I8" s="364"/>
      <c r="J8" s="18" t="s">
        <v>86</v>
      </c>
      <c r="K8" s="132" t="s">
        <v>99</v>
      </c>
      <c r="L8" s="132"/>
      <c r="M8" s="132"/>
      <c r="N8" s="132"/>
      <c r="O8" s="133"/>
    </row>
    <row r="9" spans="1:18" ht="16.5" thickTop="1" thickBot="1" x14ac:dyDescent="0.3">
      <c r="A9" s="357" t="s">
        <v>84</v>
      </c>
      <c r="B9" s="358"/>
      <c r="C9" s="117">
        <f>SUM(C3:C8)</f>
        <v>200</v>
      </c>
    </row>
    <row r="10" spans="1:18" ht="15.75" thickTop="1" x14ac:dyDescent="0.25">
      <c r="G10" s="355" t="s">
        <v>89</v>
      </c>
      <c r="H10" s="355"/>
      <c r="I10" s="355"/>
      <c r="J10" s="355"/>
      <c r="K10" s="355"/>
      <c r="L10" s="130" t="s">
        <v>97</v>
      </c>
      <c r="M10" s="6"/>
      <c r="N10" s="6"/>
      <c r="O10" s="6"/>
    </row>
    <row r="11" spans="1:18" x14ac:dyDescent="0.25">
      <c r="G11" s="6"/>
      <c r="H11" s="6"/>
      <c r="J11" s="6"/>
      <c r="K11" s="6"/>
      <c r="L11" s="6"/>
      <c r="M11" s="6"/>
      <c r="N11" s="6"/>
      <c r="O11" s="6"/>
    </row>
    <row r="12" spans="1:18" x14ac:dyDescent="0.25">
      <c r="G12" s="6"/>
      <c r="H12" s="6"/>
      <c r="J12" s="6"/>
      <c r="K12" s="6"/>
      <c r="L12" s="356">
        <f>(R2)+((R3)/((R3)+(R4)))*R5</f>
        <v>8.625</v>
      </c>
      <c r="M12" s="6"/>
      <c r="N12" s="6"/>
      <c r="O12" s="6"/>
    </row>
    <row r="13" spans="1:18" x14ac:dyDescent="0.25">
      <c r="G13" s="6"/>
      <c r="H13" s="6"/>
      <c r="J13" s="6"/>
      <c r="K13" s="6"/>
      <c r="L13" s="356"/>
      <c r="M13" s="6"/>
      <c r="N13" s="6"/>
      <c r="O13" s="6"/>
    </row>
    <row r="15" spans="1:18" x14ac:dyDescent="0.25">
      <c r="O15" s="20"/>
    </row>
    <row r="16" spans="1:18" x14ac:dyDescent="0.25">
      <c r="O16" s="114"/>
    </row>
    <row r="24" spans="4:4" x14ac:dyDescent="0.25">
      <c r="D24" t="s">
        <v>96</v>
      </c>
    </row>
  </sheetData>
  <mergeCells count="11">
    <mergeCell ref="G10:K10"/>
    <mergeCell ref="L12:L13"/>
    <mergeCell ref="A9:B9"/>
    <mergeCell ref="G2:H2"/>
    <mergeCell ref="I2:I8"/>
    <mergeCell ref="K2:O2"/>
    <mergeCell ref="K3:O3"/>
    <mergeCell ref="K4:O4"/>
    <mergeCell ref="K5:O5"/>
    <mergeCell ref="J6:J7"/>
    <mergeCell ref="K6:O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9DFF-F5DD-42F1-9F62-0AEAAFFF8249}">
  <sheetPr>
    <tabColor theme="4" tint="-0.249977111117893"/>
  </sheetPr>
  <dimension ref="A1:R16"/>
  <sheetViews>
    <sheetView showGridLines="0" workbookViewId="0">
      <selection activeCell="J20" sqref="J20"/>
    </sheetView>
  </sheetViews>
  <sheetFormatPr baseColWidth="10" defaultRowHeight="15" x14ac:dyDescent="0.25"/>
  <cols>
    <col min="6" max="6" width="17.28515625" customWidth="1"/>
    <col min="8" max="8" width="2.7109375" customWidth="1"/>
    <col min="12" max="12" width="5.140625" customWidth="1"/>
    <col min="13" max="13" width="6.7109375" customWidth="1"/>
    <col min="14" max="14" width="2.5703125" customWidth="1"/>
    <col min="15" max="17" width="9" customWidth="1"/>
    <col min="18" max="18" width="10.28515625" customWidth="1"/>
  </cols>
  <sheetData>
    <row r="1" spans="1:18" ht="15.75" thickBot="1" x14ac:dyDescent="0.3">
      <c r="A1" s="171">
        <v>1</v>
      </c>
      <c r="B1" s="171">
        <f>+A1+1</f>
        <v>2</v>
      </c>
      <c r="C1" s="171">
        <f t="shared" ref="C1:G1" si="0">+B1+1</f>
        <v>3</v>
      </c>
      <c r="D1" s="171">
        <f t="shared" si="0"/>
        <v>4</v>
      </c>
      <c r="E1" s="171">
        <f t="shared" si="0"/>
        <v>5</v>
      </c>
      <c r="F1" s="171">
        <f t="shared" si="0"/>
        <v>6</v>
      </c>
      <c r="G1" s="171">
        <f t="shared" si="0"/>
        <v>7</v>
      </c>
    </row>
    <row r="2" spans="1:18" ht="15.75" thickTop="1" x14ac:dyDescent="0.25">
      <c r="A2" s="383" t="s">
        <v>104</v>
      </c>
      <c r="B2" s="385" t="s">
        <v>108</v>
      </c>
      <c r="C2" s="387" t="s">
        <v>105</v>
      </c>
      <c r="D2" s="389"/>
      <c r="E2" s="392"/>
      <c r="F2" s="392"/>
      <c r="G2" s="395"/>
      <c r="I2" s="398" t="s">
        <v>120</v>
      </c>
      <c r="J2" s="398"/>
      <c r="K2" s="398"/>
      <c r="L2" s="398"/>
      <c r="M2" s="398"/>
      <c r="O2" s="399" t="s">
        <v>121</v>
      </c>
      <c r="P2" s="400" t="s">
        <v>122</v>
      </c>
      <c r="Q2" s="400" t="s">
        <v>123</v>
      </c>
      <c r="R2" s="355" t="s">
        <v>115</v>
      </c>
    </row>
    <row r="3" spans="1:18" x14ac:dyDescent="0.25">
      <c r="A3" s="384"/>
      <c r="B3" s="386"/>
      <c r="C3" s="388"/>
      <c r="D3" s="390"/>
      <c r="E3" s="393"/>
      <c r="F3" s="393"/>
      <c r="G3" s="396"/>
      <c r="I3" s="398"/>
      <c r="J3" s="398"/>
      <c r="K3" s="398"/>
      <c r="L3" s="398"/>
      <c r="M3" s="398"/>
      <c r="O3" s="399"/>
      <c r="P3" s="400"/>
      <c r="Q3" s="400"/>
      <c r="R3" s="355"/>
    </row>
    <row r="4" spans="1:18" ht="15.75" thickBot="1" x14ac:dyDescent="0.3">
      <c r="A4" s="167" t="s">
        <v>106</v>
      </c>
      <c r="B4" s="168" t="s">
        <v>11</v>
      </c>
      <c r="C4" s="169" t="s">
        <v>107</v>
      </c>
      <c r="D4" s="391"/>
      <c r="E4" s="394"/>
      <c r="F4" s="394"/>
      <c r="G4" s="397"/>
      <c r="I4" s="398"/>
      <c r="J4" s="398"/>
      <c r="K4" s="398"/>
      <c r="L4" s="398"/>
      <c r="M4" s="398"/>
      <c r="O4" s="399"/>
      <c r="P4" s="2">
        <v>2023</v>
      </c>
      <c r="Q4" s="2">
        <v>9</v>
      </c>
      <c r="R4" s="355"/>
    </row>
    <row r="5" spans="1:18" ht="15.75" thickTop="1" x14ac:dyDescent="0.25">
      <c r="A5" s="124">
        <v>2015</v>
      </c>
      <c r="B5" s="118">
        <v>1</v>
      </c>
      <c r="C5" s="151">
        <v>40</v>
      </c>
      <c r="D5" s="154">
        <f>+B5-$B$14</f>
        <v>-3.5</v>
      </c>
      <c r="E5" s="155">
        <f>+C5-$C$14</f>
        <v>-33.75</v>
      </c>
      <c r="F5" s="155">
        <f>+D5*E5</f>
        <v>118.125</v>
      </c>
      <c r="G5" s="156">
        <f>+D5^2</f>
        <v>12.25</v>
      </c>
      <c r="I5" s="379"/>
      <c r="J5" s="379"/>
      <c r="K5" s="379"/>
      <c r="L5" s="379"/>
      <c r="M5" s="379"/>
      <c r="O5" s="173" t="s">
        <v>116</v>
      </c>
      <c r="P5" s="174" t="s">
        <v>117</v>
      </c>
      <c r="Q5" s="174" t="s">
        <v>118</v>
      </c>
      <c r="R5" s="174" t="s">
        <v>119</v>
      </c>
    </row>
    <row r="6" spans="1:18" x14ac:dyDescent="0.25">
      <c r="A6" s="126">
        <f>+A5+1</f>
        <v>2016</v>
      </c>
      <c r="B6" s="120">
        <f>+B5+1</f>
        <v>2</v>
      </c>
      <c r="C6" s="152">
        <v>60</v>
      </c>
      <c r="D6" s="136">
        <f t="shared" ref="D6:D12" si="1">+B6-$B$14</f>
        <v>-2.5</v>
      </c>
      <c r="E6" s="157">
        <f t="shared" ref="E6:E12" si="2">+C6-$C$14</f>
        <v>-13.75</v>
      </c>
      <c r="F6" s="157">
        <f t="shared" ref="F6:F12" si="3">+D6*E6</f>
        <v>34.375</v>
      </c>
      <c r="G6" s="158">
        <f t="shared" ref="G6:G12" si="4">+D6^2</f>
        <v>6.25</v>
      </c>
      <c r="O6" s="1"/>
      <c r="P6" s="40"/>
      <c r="Q6" s="40"/>
      <c r="R6" s="40"/>
    </row>
    <row r="7" spans="1:18" ht="15.75" thickBot="1" x14ac:dyDescent="0.3">
      <c r="A7" s="126">
        <f t="shared" ref="A7:B12" si="5">+A6+1</f>
        <v>2017</v>
      </c>
      <c r="B7" s="120">
        <f t="shared" si="5"/>
        <v>3</v>
      </c>
      <c r="C7" s="152">
        <v>50</v>
      </c>
      <c r="D7" s="136">
        <f t="shared" si="1"/>
        <v>-1.5</v>
      </c>
      <c r="E7" s="157">
        <f t="shared" si="2"/>
        <v>-23.75</v>
      </c>
      <c r="F7" s="157">
        <f t="shared" si="3"/>
        <v>35.625</v>
      </c>
      <c r="G7" s="158">
        <f t="shared" si="4"/>
        <v>2.25</v>
      </c>
      <c r="I7" t="s">
        <v>111</v>
      </c>
      <c r="J7" s="318"/>
      <c r="K7" s="318"/>
      <c r="L7" s="380" t="s">
        <v>112</v>
      </c>
      <c r="M7" s="381">
        <f>+F13/G13</f>
        <v>8.5714285714285712</v>
      </c>
      <c r="O7" s="175">
        <f>+M7</f>
        <v>8.5714285714285712</v>
      </c>
      <c r="P7" s="1">
        <f>+Q4</f>
        <v>9</v>
      </c>
      <c r="Q7" s="175">
        <f>+M10</f>
        <v>35.178571428571431</v>
      </c>
      <c r="R7" s="176">
        <f>+O7*P7+Q7</f>
        <v>112.32142857142857</v>
      </c>
    </row>
    <row r="8" spans="1:18" ht="15.75" thickTop="1" x14ac:dyDescent="0.25">
      <c r="A8" s="126">
        <f t="shared" si="5"/>
        <v>2018</v>
      </c>
      <c r="B8" s="120">
        <f t="shared" si="5"/>
        <v>4</v>
      </c>
      <c r="C8" s="152">
        <v>80</v>
      </c>
      <c r="D8" s="136">
        <f t="shared" si="1"/>
        <v>-0.5</v>
      </c>
      <c r="E8" s="157">
        <f t="shared" si="2"/>
        <v>6.25</v>
      </c>
      <c r="F8" s="157">
        <f t="shared" si="3"/>
        <v>-3.125</v>
      </c>
      <c r="G8" s="158">
        <f t="shared" si="4"/>
        <v>0.25</v>
      </c>
      <c r="J8" s="382"/>
      <c r="K8" s="382"/>
      <c r="L8" s="380"/>
      <c r="M8" s="381"/>
    </row>
    <row r="9" spans="1:18" x14ac:dyDescent="0.25">
      <c r="A9" s="126">
        <f t="shared" si="5"/>
        <v>2019</v>
      </c>
      <c r="B9" s="120">
        <f t="shared" si="5"/>
        <v>5</v>
      </c>
      <c r="C9" s="152">
        <v>70</v>
      </c>
      <c r="D9" s="136">
        <f t="shared" si="1"/>
        <v>0.5</v>
      </c>
      <c r="E9" s="157">
        <f t="shared" si="2"/>
        <v>-3.75</v>
      </c>
      <c r="F9" s="157">
        <f t="shared" si="3"/>
        <v>-1.875</v>
      </c>
      <c r="G9" s="158">
        <f t="shared" si="4"/>
        <v>0.25</v>
      </c>
    </row>
    <row r="10" spans="1:18" x14ac:dyDescent="0.25">
      <c r="A10" s="126">
        <f t="shared" si="5"/>
        <v>2020</v>
      </c>
      <c r="B10" s="120">
        <f t="shared" si="5"/>
        <v>6</v>
      </c>
      <c r="C10" s="152">
        <v>90</v>
      </c>
      <c r="D10" s="136">
        <f t="shared" si="1"/>
        <v>1.5</v>
      </c>
      <c r="E10" s="157">
        <f t="shared" si="2"/>
        <v>16.25</v>
      </c>
      <c r="F10" s="157">
        <f t="shared" si="3"/>
        <v>24.375</v>
      </c>
      <c r="G10" s="158">
        <f t="shared" si="4"/>
        <v>2.25</v>
      </c>
      <c r="I10" t="s">
        <v>113</v>
      </c>
      <c r="J10" s="318"/>
      <c r="K10" s="318"/>
      <c r="L10" s="3" t="s">
        <v>114</v>
      </c>
      <c r="M10" s="172">
        <f>+C14-(M7*B14)</f>
        <v>35.178571428571431</v>
      </c>
    </row>
    <row r="11" spans="1:18" x14ac:dyDescent="0.25">
      <c r="A11" s="126">
        <f t="shared" si="5"/>
        <v>2021</v>
      </c>
      <c r="B11" s="120">
        <f t="shared" si="5"/>
        <v>7</v>
      </c>
      <c r="C11" s="152">
        <v>105</v>
      </c>
      <c r="D11" s="136">
        <f t="shared" si="1"/>
        <v>2.5</v>
      </c>
      <c r="E11" s="157">
        <f t="shared" si="2"/>
        <v>31.25</v>
      </c>
      <c r="F11" s="157">
        <f t="shared" si="3"/>
        <v>78.125</v>
      </c>
      <c r="G11" s="158">
        <f t="shared" si="4"/>
        <v>6.25</v>
      </c>
    </row>
    <row r="12" spans="1:18" ht="15.75" thickBot="1" x14ac:dyDescent="0.3">
      <c r="A12" s="128">
        <f t="shared" si="5"/>
        <v>2022</v>
      </c>
      <c r="B12" s="122">
        <f t="shared" si="5"/>
        <v>8</v>
      </c>
      <c r="C12" s="153">
        <v>95</v>
      </c>
      <c r="D12" s="136">
        <f t="shared" si="1"/>
        <v>3.5</v>
      </c>
      <c r="E12" s="157">
        <f t="shared" si="2"/>
        <v>21.25</v>
      </c>
      <c r="F12" s="157">
        <f t="shared" si="3"/>
        <v>74.375</v>
      </c>
      <c r="G12" s="158">
        <f t="shared" si="4"/>
        <v>12.25</v>
      </c>
    </row>
    <row r="13" spans="1:18" ht="16.5" thickTop="1" thickBot="1" x14ac:dyDescent="0.3">
      <c r="A13" s="150" t="s">
        <v>109</v>
      </c>
      <c r="B13" s="161">
        <f t="shared" ref="B13:G13" si="6">SUM(B5:B12)</f>
        <v>36</v>
      </c>
      <c r="C13" s="162">
        <f t="shared" si="6"/>
        <v>590</v>
      </c>
      <c r="D13" s="149">
        <f t="shared" si="6"/>
        <v>0</v>
      </c>
      <c r="E13" s="149">
        <f t="shared" si="6"/>
        <v>0</v>
      </c>
      <c r="F13" s="159">
        <f t="shared" si="6"/>
        <v>360</v>
      </c>
      <c r="G13" s="160">
        <f t="shared" si="6"/>
        <v>42</v>
      </c>
    </row>
    <row r="14" spans="1:18" ht="15.75" thickTop="1" x14ac:dyDescent="0.25">
      <c r="A14" s="377" t="s">
        <v>110</v>
      </c>
      <c r="B14" s="165">
        <f>+B13/COUNTA(B5:B12)</f>
        <v>4.5</v>
      </c>
      <c r="C14" s="166">
        <f>+C13/COUNTA(C5:C12)</f>
        <v>73.75</v>
      </c>
    </row>
    <row r="15" spans="1:18" ht="15.75" thickBot="1" x14ac:dyDescent="0.3">
      <c r="A15" s="378"/>
      <c r="B15" s="163"/>
      <c r="C15" s="164"/>
    </row>
    <row r="16" spans="1:18" ht="15.75" thickTop="1" x14ac:dyDescent="0.25">
      <c r="A16" s="170"/>
    </row>
  </sheetData>
  <mergeCells count="20">
    <mergeCell ref="R2:R4"/>
    <mergeCell ref="A2:A3"/>
    <mergeCell ref="B2:B3"/>
    <mergeCell ref="C2:C3"/>
    <mergeCell ref="D2:D4"/>
    <mergeCell ref="E2:E4"/>
    <mergeCell ref="F2:F4"/>
    <mergeCell ref="G2:G4"/>
    <mergeCell ref="I2:M4"/>
    <mergeCell ref="O2:O4"/>
    <mergeCell ref="P2:P3"/>
    <mergeCell ref="Q2:Q3"/>
    <mergeCell ref="J10:K10"/>
    <mergeCell ref="A14:A15"/>
    <mergeCell ref="I5:J5"/>
    <mergeCell ref="K5:M5"/>
    <mergeCell ref="J7:K7"/>
    <mergeCell ref="L7:L8"/>
    <mergeCell ref="M7:M8"/>
    <mergeCell ref="J8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A4C-6787-487D-8FFF-EF7422B4F3C3}">
  <sheetPr>
    <tabColor theme="8" tint="0.39997558519241921"/>
  </sheetPr>
  <dimension ref="A1:Q34"/>
  <sheetViews>
    <sheetView showGridLines="0" zoomScaleNormal="100" workbookViewId="0">
      <selection sqref="A1:XFD1048576"/>
    </sheetView>
  </sheetViews>
  <sheetFormatPr baseColWidth="10" defaultRowHeight="15" x14ac:dyDescent="0.25"/>
  <cols>
    <col min="5" max="5" width="18.42578125" customWidth="1"/>
    <col min="9" max="10" width="12" bestFit="1" customWidth="1"/>
    <col min="13" max="13" width="11.5703125" customWidth="1"/>
    <col min="14" max="14" width="10.28515625" customWidth="1"/>
  </cols>
  <sheetData>
    <row r="1" spans="1:17" x14ac:dyDescent="0.25">
      <c r="A1" s="355" t="s">
        <v>142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x14ac:dyDescent="0.25">
      <c r="A2" s="402" t="s">
        <v>124</v>
      </c>
      <c r="B2" s="402"/>
      <c r="C2" s="402"/>
      <c r="D2" s="402"/>
      <c r="E2" s="402"/>
      <c r="F2" s="179" t="s">
        <v>126</v>
      </c>
      <c r="G2" s="2">
        <v>25</v>
      </c>
      <c r="H2" s="1"/>
    </row>
    <row r="3" spans="1:17" x14ac:dyDescent="0.25">
      <c r="A3" s="402" t="s">
        <v>143</v>
      </c>
      <c r="B3" s="402"/>
      <c r="C3" s="402"/>
      <c r="D3" s="402"/>
      <c r="E3" s="402"/>
      <c r="F3" s="179" t="s">
        <v>127</v>
      </c>
      <c r="G3" s="182">
        <v>7.0000000000000007E-2</v>
      </c>
      <c r="H3" s="183">
        <f>+G3*1</f>
        <v>7.0000000000000007E-2</v>
      </c>
    </row>
    <row r="4" spans="1:17" x14ac:dyDescent="0.25">
      <c r="A4" s="402" t="s">
        <v>144</v>
      </c>
      <c r="B4" s="402"/>
      <c r="C4" s="402"/>
      <c r="D4" s="402"/>
      <c r="E4" s="402"/>
      <c r="F4" s="179" t="s">
        <v>128</v>
      </c>
      <c r="G4" s="1"/>
      <c r="H4" s="183">
        <f>1-H3</f>
        <v>0.92999999999999994</v>
      </c>
    </row>
    <row r="5" spans="1:17" x14ac:dyDescent="0.25">
      <c r="A5" s="178"/>
      <c r="B5" s="178"/>
      <c r="C5" s="178"/>
      <c r="D5" s="178"/>
      <c r="E5" s="178"/>
      <c r="F5" s="178"/>
    </row>
    <row r="6" spans="1:17" x14ac:dyDescent="0.25">
      <c r="A6" s="403" t="s">
        <v>125</v>
      </c>
      <c r="B6" s="403"/>
      <c r="C6" s="403"/>
      <c r="D6" s="403"/>
      <c r="E6" s="403"/>
      <c r="F6" s="177"/>
    </row>
    <row r="7" spans="1:17" x14ac:dyDescent="0.25">
      <c r="A7" s="180" t="s">
        <v>145</v>
      </c>
      <c r="K7" t="s">
        <v>129</v>
      </c>
      <c r="M7" t="s">
        <v>130</v>
      </c>
      <c r="N7">
        <f>+G2*H3</f>
        <v>1.7500000000000002</v>
      </c>
    </row>
    <row r="8" spans="1:17" x14ac:dyDescent="0.25">
      <c r="A8" s="180" t="s">
        <v>146</v>
      </c>
      <c r="K8" t="s">
        <v>131</v>
      </c>
      <c r="M8" t="s">
        <v>132</v>
      </c>
      <c r="N8" s="181">
        <f>G2*H3*H4</f>
        <v>1.6275000000000002</v>
      </c>
    </row>
    <row r="9" spans="1:17" x14ac:dyDescent="0.25">
      <c r="A9" s="180" t="s">
        <v>147</v>
      </c>
      <c r="K9" t="s">
        <v>133</v>
      </c>
      <c r="N9" s="181">
        <f>SQRT(G2*H3*H4)</f>
        <v>1.2757350822173075</v>
      </c>
    </row>
    <row r="11" spans="1:17" x14ac:dyDescent="0.25">
      <c r="A11" s="319" t="s">
        <v>135</v>
      </c>
      <c r="B11" s="319"/>
      <c r="C11" s="319"/>
      <c r="D11" s="319"/>
      <c r="E11" s="319"/>
      <c r="F11" s="184" t="s">
        <v>134</v>
      </c>
      <c r="G11" s="2">
        <v>2</v>
      </c>
      <c r="H11" s="185"/>
      <c r="I11" s="9"/>
      <c r="J11" s="9"/>
      <c r="K11" s="9"/>
      <c r="L11" s="9"/>
    </row>
    <row r="12" spans="1:17" x14ac:dyDescent="0.25">
      <c r="A12" s="401" t="s">
        <v>137</v>
      </c>
      <c r="B12" s="401"/>
      <c r="C12" s="401"/>
      <c r="D12" s="401"/>
      <c r="E12" s="401"/>
      <c r="G12" s="1"/>
      <c r="H12" s="185"/>
    </row>
    <row r="13" spans="1:17" x14ac:dyDescent="0.25">
      <c r="G13" s="1"/>
      <c r="I13" s="3">
        <f>(FACT($G$2))/((FACT($G$11))*(FACT($G$2-$G$11)))</f>
        <v>299.99999999999994</v>
      </c>
      <c r="J13" s="1">
        <f>+I13</f>
        <v>299.99999999999994</v>
      </c>
      <c r="K13" s="1">
        <f>+$H$3^$G$11</f>
        <v>4.9000000000000007E-3</v>
      </c>
      <c r="L13" s="1">
        <f>+$H$4^($G$2-$G$11)</f>
        <v>0.18841167770262096</v>
      </c>
      <c r="M13" s="186">
        <f>+J13*K13*L13</f>
        <v>0.27696516622285283</v>
      </c>
    </row>
    <row r="14" spans="1:17" x14ac:dyDescent="0.25">
      <c r="G14" s="1"/>
    </row>
    <row r="15" spans="1:17" x14ac:dyDescent="0.25">
      <c r="A15" s="319" t="s">
        <v>136</v>
      </c>
      <c r="B15" s="319"/>
      <c r="C15" s="319"/>
      <c r="D15" s="319"/>
      <c r="E15" s="319"/>
      <c r="F15" s="184" t="s">
        <v>134</v>
      </c>
      <c r="G15" s="2">
        <v>0</v>
      </c>
      <c r="I15" s="3">
        <f>(FACT($G$2))/((FACT($G$15))*(FACT($G$2-$G$15)))</f>
        <v>1</v>
      </c>
      <c r="J15" s="1">
        <f>+I15</f>
        <v>1</v>
      </c>
      <c r="K15" s="1">
        <f>+$H$3^$G$15</f>
        <v>1</v>
      </c>
      <c r="L15" s="1">
        <f>+$H$4^($G$2-$G$15)</f>
        <v>0.16295726004499683</v>
      </c>
      <c r="M15" s="51">
        <f>+J15*K15*L15</f>
        <v>0.16295726004499683</v>
      </c>
    </row>
    <row r="16" spans="1:17" x14ac:dyDescent="0.25">
      <c r="A16" s="401" t="s">
        <v>138</v>
      </c>
      <c r="B16" s="401"/>
      <c r="C16" s="401"/>
      <c r="D16" s="401"/>
      <c r="E16" s="401"/>
      <c r="G16" s="2">
        <v>1</v>
      </c>
      <c r="I16" s="3">
        <f>(FACT($G$2))/((FACT($G$16))*(FACT($G$2-$G$16)))</f>
        <v>24.999999999999996</v>
      </c>
      <c r="J16" s="1">
        <f t="shared" ref="J16:J17" si="0">+I16</f>
        <v>24.999999999999996</v>
      </c>
      <c r="K16" s="1">
        <f>+$H$3^$G$16</f>
        <v>7.0000000000000007E-2</v>
      </c>
      <c r="L16" s="1">
        <f>+$H$4^($G$2-$G$16)</f>
        <v>0.1752228602634375</v>
      </c>
      <c r="M16" s="51">
        <f t="shared" ref="M16:M17" si="1">+J16*K16*L16</f>
        <v>0.30664000546101561</v>
      </c>
    </row>
    <row r="17" spans="1:13" ht="15.75" thickBot="1" x14ac:dyDescent="0.3">
      <c r="G17" s="2">
        <v>2</v>
      </c>
      <c r="I17" s="3">
        <f>(FACT($G$2))/((FACT($G$17))*(FACT($G$2-$G$17)))</f>
        <v>299.99999999999994</v>
      </c>
      <c r="J17" s="1">
        <f t="shared" si="0"/>
        <v>299.99999999999994</v>
      </c>
      <c r="K17" s="1">
        <f>+$H$3^$G$17</f>
        <v>4.9000000000000007E-3</v>
      </c>
      <c r="L17" s="1">
        <f>+$H$4^($G$2-$G$17)</f>
        <v>0.18841167770262096</v>
      </c>
      <c r="M17" s="51">
        <f t="shared" si="1"/>
        <v>0.27696516622285283</v>
      </c>
    </row>
    <row r="18" spans="1:13" ht="15.75" thickTop="1" x14ac:dyDescent="0.25">
      <c r="G18" s="1"/>
      <c r="M18" s="187">
        <f>+M15+M16+M17</f>
        <v>0.74656243172886527</v>
      </c>
    </row>
    <row r="19" spans="1:13" x14ac:dyDescent="0.25">
      <c r="G19" s="1"/>
      <c r="M19" s="188"/>
    </row>
    <row r="20" spans="1:13" x14ac:dyDescent="0.25">
      <c r="A20" s="319" t="s">
        <v>141</v>
      </c>
      <c r="B20" s="319"/>
      <c r="C20" s="319"/>
      <c r="D20" s="319"/>
      <c r="E20" s="319"/>
      <c r="F20" s="184" t="s">
        <v>134</v>
      </c>
      <c r="G20" s="2">
        <v>0</v>
      </c>
      <c r="I20" s="3">
        <f>(FACT($G$2))/((FACT($G$20))*(FACT($G$2-$G$20)))</f>
        <v>1</v>
      </c>
      <c r="J20" s="1">
        <f>+I20</f>
        <v>1</v>
      </c>
      <c r="K20" s="1">
        <f>+$H$3^$G$20</f>
        <v>1</v>
      </c>
      <c r="L20" s="1">
        <f>+$H$4^($G$2-$G$20)</f>
        <v>0.16295726004499683</v>
      </c>
      <c r="M20" s="51">
        <f>+J20*K20*L20</f>
        <v>0.16295726004499683</v>
      </c>
    </row>
    <row r="21" spans="1:13" x14ac:dyDescent="0.25">
      <c r="A21" s="401" t="s">
        <v>139</v>
      </c>
      <c r="B21" s="401"/>
      <c r="C21" s="401"/>
      <c r="D21" s="401"/>
      <c r="E21" s="401"/>
      <c r="G21" s="2">
        <v>1</v>
      </c>
      <c r="I21" s="3">
        <f>(FACT($G$2))/((FACT($G$21))*(FACT($G$2-$G$21)))</f>
        <v>24.999999999999996</v>
      </c>
      <c r="J21" s="1">
        <f t="shared" ref="J21" si="2">+I21</f>
        <v>24.999999999999996</v>
      </c>
      <c r="K21" s="1">
        <f>+$H$3^$G$21</f>
        <v>7.0000000000000007E-2</v>
      </c>
      <c r="L21" s="1">
        <f>+$H$4^($G$2-$G$21)</f>
        <v>0.1752228602634375</v>
      </c>
      <c r="M21" s="51">
        <f t="shared" ref="M21" si="3">+J21*K21*L21</f>
        <v>0.30664000546101561</v>
      </c>
    </row>
    <row r="22" spans="1:13" ht="15.75" thickBot="1" x14ac:dyDescent="0.3">
      <c r="G22" s="2"/>
      <c r="I22" s="3"/>
      <c r="J22" s="1"/>
      <c r="K22" s="1"/>
      <c r="L22" s="1"/>
      <c r="M22" s="51"/>
    </row>
    <row r="23" spans="1:13" ht="15.75" thickTop="1" x14ac:dyDescent="0.25">
      <c r="K23" s="405" t="s">
        <v>140</v>
      </c>
      <c r="L23" s="405"/>
      <c r="M23" s="187">
        <f>1-(+M20+M21+M22)</f>
        <v>0.53040273449398756</v>
      </c>
    </row>
    <row r="25" spans="1:13" x14ac:dyDescent="0.25">
      <c r="A25" s="318" t="s">
        <v>148</v>
      </c>
      <c r="B25" s="318"/>
      <c r="C25" s="318"/>
      <c r="D25" s="318"/>
      <c r="E25" s="318"/>
    </row>
    <row r="26" spans="1:13" x14ac:dyDescent="0.25">
      <c r="A26" s="401" t="s">
        <v>149</v>
      </c>
      <c r="B26" s="401"/>
      <c r="C26" s="401"/>
      <c r="D26" s="401"/>
      <c r="E26" s="401"/>
      <c r="F26" s="184" t="s">
        <v>150</v>
      </c>
      <c r="G26" s="2">
        <v>3</v>
      </c>
      <c r="I26" s="3">
        <f>(FACT($G$2))/((FACT($G$26))*(FACT($G$2-$G$26)))</f>
        <v>2299.9999999999995</v>
      </c>
      <c r="J26" s="1">
        <f>+I26</f>
        <v>2299.9999999999995</v>
      </c>
      <c r="K26" s="1">
        <f>+$H$3^$G$26</f>
        <v>3.430000000000001E-4</v>
      </c>
      <c r="L26" s="1">
        <f>+$H$4^($G$2-$G$26)</f>
        <v>0.20259320183077525</v>
      </c>
      <c r="M26" s="51">
        <f>+J26*K26*L26</f>
        <v>0.15982577692429861</v>
      </c>
    </row>
    <row r="27" spans="1:13" x14ac:dyDescent="0.25">
      <c r="F27" s="184" t="s">
        <v>151</v>
      </c>
      <c r="G27" s="2">
        <v>4</v>
      </c>
      <c r="I27" s="3">
        <f>(FACT($G$2))/((FACT($G$27))*(FACT($G$2-$G$27)))</f>
        <v>12649.999999999998</v>
      </c>
      <c r="J27" s="1">
        <f t="shared" ref="J27:J28" si="4">+I27</f>
        <v>12649.999999999998</v>
      </c>
      <c r="K27" s="1">
        <f>+$H$3^$G$27</f>
        <v>2.4010000000000006E-5</v>
      </c>
      <c r="L27" s="1">
        <f>+$H$4^($G$2-$G$27)</f>
        <v>0.21784215250620997</v>
      </c>
      <c r="M27" s="51">
        <f t="shared" ref="M27:M28" si="5">+J27*K27*L27</f>
        <v>6.6164434533177385E-2</v>
      </c>
    </row>
    <row r="28" spans="1:13" ht="15.75" thickBot="1" x14ac:dyDescent="0.3">
      <c r="F28" s="184" t="s">
        <v>152</v>
      </c>
      <c r="G28" s="2">
        <v>5</v>
      </c>
      <c r="I28" s="3">
        <f>(FACT($G$2))/((FACT($G$28))*(FACT($G$2-$G$28)))</f>
        <v>53129.999999999993</v>
      </c>
      <c r="J28" s="1">
        <f t="shared" si="4"/>
        <v>53129.999999999993</v>
      </c>
      <c r="K28" s="1">
        <f>+$H$3^$G$28</f>
        <v>1.6807000000000005E-6</v>
      </c>
      <c r="L28" s="1">
        <f>+$H$4^($G$2-$G$28)</f>
        <v>0.23423887366259136</v>
      </c>
      <c r="M28" s="51">
        <f t="shared" si="5"/>
        <v>2.0916498658875432E-2</v>
      </c>
    </row>
    <row r="29" spans="1:13" ht="15.75" thickTop="1" x14ac:dyDescent="0.25">
      <c r="M29" s="187">
        <f>+M26+M27+M28</f>
        <v>0.24690671011635143</v>
      </c>
    </row>
    <row r="30" spans="1:13" x14ac:dyDescent="0.25">
      <c r="L30" s="190" t="s">
        <v>157</v>
      </c>
    </row>
    <row r="31" spans="1:13" x14ac:dyDescent="0.25">
      <c r="A31" s="319" t="s">
        <v>153</v>
      </c>
      <c r="B31" s="319"/>
      <c r="C31" s="319"/>
      <c r="D31" s="319"/>
      <c r="E31" s="319"/>
      <c r="F31" s="189" t="s">
        <v>155</v>
      </c>
      <c r="G31" s="2">
        <v>0</v>
      </c>
      <c r="I31" s="3">
        <v>1</v>
      </c>
      <c r="J31" s="1">
        <f>+I31</f>
        <v>1</v>
      </c>
      <c r="K31" s="1">
        <f>+$H$3^$G$31</f>
        <v>1</v>
      </c>
      <c r="L31" s="175">
        <f>+$H$4</f>
        <v>0.92999999999999994</v>
      </c>
      <c r="M31">
        <f>+G32</f>
        <v>0.1</v>
      </c>
    </row>
    <row r="32" spans="1:13" ht="15.75" thickBot="1" x14ac:dyDescent="0.3">
      <c r="A32" s="404" t="s">
        <v>156</v>
      </c>
      <c r="B32" s="404"/>
      <c r="C32" s="404"/>
      <c r="D32" s="404"/>
      <c r="E32" s="404"/>
      <c r="F32" s="189" t="s">
        <v>154</v>
      </c>
      <c r="G32" s="2">
        <v>0.1</v>
      </c>
      <c r="K32" s="1" t="s">
        <v>158</v>
      </c>
      <c r="L32" s="1">
        <f>+M31</f>
        <v>0.1</v>
      </c>
      <c r="M32">
        <f>LN(L32)</f>
        <v>-2.3025850929940455</v>
      </c>
    </row>
    <row r="33" spans="11:13" ht="16.5" thickTop="1" thickBot="1" x14ac:dyDescent="0.3">
      <c r="K33" s="1" t="s">
        <v>158</v>
      </c>
      <c r="L33" s="175">
        <f>+L31</f>
        <v>0.92999999999999994</v>
      </c>
      <c r="M33" s="191">
        <f>LN(L33)</f>
        <v>-7.2570692834835498E-2</v>
      </c>
    </row>
    <row r="34" spans="11:13" ht="15.75" thickTop="1" x14ac:dyDescent="0.25">
      <c r="K34" s="1" t="s">
        <v>126</v>
      </c>
      <c r="L34" s="1"/>
      <c r="M34" s="187">
        <f>+M32/M33</f>
        <v>31.728856416384591</v>
      </c>
    </row>
  </sheetData>
  <mergeCells count="16">
    <mergeCell ref="A32:E32"/>
    <mergeCell ref="A20:E20"/>
    <mergeCell ref="A21:E21"/>
    <mergeCell ref="K23:L23"/>
    <mergeCell ref="A26:E26"/>
    <mergeCell ref="A25:E25"/>
    <mergeCell ref="A31:E31"/>
    <mergeCell ref="A11:E11"/>
    <mergeCell ref="A12:E12"/>
    <mergeCell ref="A16:E16"/>
    <mergeCell ref="A15:E15"/>
    <mergeCell ref="A1:Q1"/>
    <mergeCell ref="A2:E2"/>
    <mergeCell ref="A3:E3"/>
    <mergeCell ref="A6:E6"/>
    <mergeCell ref="A4:E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B261-D1F1-48B3-8C90-3E184AABB6DA}">
  <sheetPr>
    <tabColor rgb="FF00B050"/>
  </sheetPr>
  <dimension ref="A1:T36"/>
  <sheetViews>
    <sheetView showGridLines="0" topLeftCell="A8" workbookViewId="0">
      <selection activeCell="M25" sqref="M25"/>
    </sheetView>
  </sheetViews>
  <sheetFormatPr baseColWidth="10" defaultRowHeight="15" x14ac:dyDescent="0.25"/>
  <cols>
    <col min="11" max="11" width="2.5703125" customWidth="1"/>
    <col min="12" max="12" width="15.28515625" customWidth="1"/>
    <col min="13" max="13" width="11.42578125" style="51"/>
    <col min="14" max="14" width="2.28515625" customWidth="1"/>
    <col min="15" max="15" width="25.140625" customWidth="1"/>
    <col min="16" max="16" width="11.42578125" style="51"/>
    <col min="17" max="17" width="3.140625" style="175" customWidth="1"/>
    <col min="18" max="19" width="11.42578125" style="51"/>
  </cols>
  <sheetData>
    <row r="1" spans="1:20" ht="15.75" thickTop="1" x14ac:dyDescent="0.25">
      <c r="A1" s="298" t="s">
        <v>217</v>
      </c>
      <c r="B1" s="299" t="s">
        <v>218</v>
      </c>
      <c r="C1" s="299"/>
      <c r="D1" s="299"/>
      <c r="E1" s="299" t="s">
        <v>219</v>
      </c>
      <c r="F1" s="299" t="s">
        <v>220</v>
      </c>
      <c r="G1" s="299" t="s">
        <v>221</v>
      </c>
      <c r="H1" s="299" t="s">
        <v>222</v>
      </c>
      <c r="I1" s="299" t="s">
        <v>223</v>
      </c>
      <c r="J1" s="300" t="s">
        <v>224</v>
      </c>
      <c r="L1" s="301" t="s">
        <v>229</v>
      </c>
      <c r="M1" s="302">
        <v>6</v>
      </c>
      <c r="O1" s="9" t="s">
        <v>224</v>
      </c>
      <c r="S1" s="412" t="s">
        <v>240</v>
      </c>
      <c r="T1" s="412"/>
    </row>
    <row r="2" spans="1:20" x14ac:dyDescent="0.25">
      <c r="A2" s="239">
        <v>1</v>
      </c>
      <c r="B2" s="240">
        <v>2.4</v>
      </c>
      <c r="C2" s="240"/>
      <c r="D2" s="240"/>
      <c r="E2" s="240">
        <f>+A2-$M$3</f>
        <v>-2.5</v>
      </c>
      <c r="F2" s="59">
        <f>+B2-$M$5</f>
        <v>-2.6</v>
      </c>
      <c r="G2" s="240">
        <f>+E2^2</f>
        <v>6.25</v>
      </c>
      <c r="H2" s="240">
        <f>+F2^2</f>
        <v>6.7600000000000007</v>
      </c>
      <c r="I2" s="240">
        <f>+E2*F2</f>
        <v>6.5</v>
      </c>
      <c r="J2" s="294">
        <f>+$S$2*A2+$S$3</f>
        <v>1.4</v>
      </c>
      <c r="L2" s="239" t="s">
        <v>225</v>
      </c>
      <c r="M2" s="304">
        <f>SUM(A2:A7)</f>
        <v>21</v>
      </c>
      <c r="O2" t="s">
        <v>236</v>
      </c>
      <c r="P2" s="175">
        <f>+I8</f>
        <v>25.2</v>
      </c>
      <c r="Q2" s="308" t="s">
        <v>237</v>
      </c>
      <c r="R2" s="175">
        <f>+G8</f>
        <v>17.5</v>
      </c>
      <c r="S2" s="175">
        <f>+P2/R2</f>
        <v>1.44</v>
      </c>
    </row>
    <row r="3" spans="1:20" x14ac:dyDescent="0.25">
      <c r="A3" s="239">
        <v>2</v>
      </c>
      <c r="B3" s="240">
        <v>3</v>
      </c>
      <c r="C3" s="240"/>
      <c r="D3" s="240"/>
      <c r="E3" s="240">
        <f t="shared" ref="E3:E7" si="0">+A3-$M$3</f>
        <v>-1.5</v>
      </c>
      <c r="F3" s="59">
        <f t="shared" ref="F3:F7" si="1">+B3-$M$5</f>
        <v>-2</v>
      </c>
      <c r="G3" s="240">
        <f t="shared" ref="G3:G7" si="2">+E3^2</f>
        <v>2.25</v>
      </c>
      <c r="H3" s="240">
        <f t="shared" ref="H3:H7" si="3">+F3^2</f>
        <v>4</v>
      </c>
      <c r="I3" s="240">
        <f t="shared" ref="I3:I7" si="4">+E3*F3</f>
        <v>3</v>
      </c>
      <c r="J3" s="294">
        <f t="shared" ref="J3:J7" si="5">+$S$2*A3+$S$3</f>
        <v>2.84</v>
      </c>
      <c r="L3" s="239" t="s">
        <v>227</v>
      </c>
      <c r="M3" s="305">
        <f>+M2/M1</f>
        <v>3.5</v>
      </c>
      <c r="O3" t="s">
        <v>238</v>
      </c>
      <c r="P3" s="175">
        <f>+M5</f>
        <v>5</v>
      </c>
      <c r="Q3" s="308" t="s">
        <v>239</v>
      </c>
      <c r="R3" s="175">
        <f>+S2*M3</f>
        <v>5.04</v>
      </c>
      <c r="S3" s="175">
        <f>+P3-R3</f>
        <v>-4.0000000000000036E-2</v>
      </c>
    </row>
    <row r="4" spans="1:20" x14ac:dyDescent="0.25">
      <c r="A4" s="239">
        <v>3</v>
      </c>
      <c r="B4" s="240">
        <v>3.6</v>
      </c>
      <c r="C4" s="240"/>
      <c r="D4" s="240"/>
      <c r="E4" s="240">
        <f t="shared" si="0"/>
        <v>-0.5</v>
      </c>
      <c r="F4" s="59">
        <f t="shared" si="1"/>
        <v>-1.4</v>
      </c>
      <c r="G4" s="240">
        <f t="shared" si="2"/>
        <v>0.25</v>
      </c>
      <c r="H4" s="240">
        <f t="shared" si="3"/>
        <v>1.9599999999999997</v>
      </c>
      <c r="I4" s="240">
        <f t="shared" si="4"/>
        <v>0.7</v>
      </c>
      <c r="J4" s="294">
        <f t="shared" si="5"/>
        <v>4.28</v>
      </c>
      <c r="L4" s="239" t="s">
        <v>226</v>
      </c>
      <c r="M4" s="304">
        <f>SUM(B2:B7)</f>
        <v>30</v>
      </c>
      <c r="O4" t="s">
        <v>241</v>
      </c>
      <c r="P4" s="175">
        <f>+I8</f>
        <v>25.2</v>
      </c>
      <c r="Q4" s="308" t="s">
        <v>237</v>
      </c>
      <c r="R4" s="175">
        <f>SQRT(G8)*SQRT(H8)</f>
        <v>27.342274960214997</v>
      </c>
      <c r="S4" s="175">
        <f>+P4/R4</f>
        <v>0.921649717760056</v>
      </c>
    </row>
    <row r="5" spans="1:20" x14ac:dyDescent="0.25">
      <c r="A5" s="239">
        <v>4</v>
      </c>
      <c r="B5" s="240">
        <v>4</v>
      </c>
      <c r="C5" s="240"/>
      <c r="D5" s="240"/>
      <c r="E5" s="240">
        <f t="shared" si="0"/>
        <v>0.5</v>
      </c>
      <c r="F5" s="59">
        <f t="shared" si="1"/>
        <v>-1</v>
      </c>
      <c r="G5" s="240">
        <f t="shared" si="2"/>
        <v>0.25</v>
      </c>
      <c r="H5" s="240">
        <f t="shared" si="3"/>
        <v>1</v>
      </c>
      <c r="I5" s="240">
        <f t="shared" si="4"/>
        <v>-0.5</v>
      </c>
      <c r="J5" s="294">
        <f t="shared" si="5"/>
        <v>5.72</v>
      </c>
      <c r="L5" s="239" t="s">
        <v>228</v>
      </c>
      <c r="M5" s="305">
        <f>+M4/M1</f>
        <v>5</v>
      </c>
      <c r="O5" t="s">
        <v>243</v>
      </c>
      <c r="P5" s="175">
        <f>+S4^2</f>
        <v>0.84943820224719091</v>
      </c>
      <c r="Q5" s="308" t="s">
        <v>245</v>
      </c>
      <c r="R5" s="175">
        <v>100</v>
      </c>
      <c r="S5" s="175">
        <f>+P5*R5</f>
        <v>84.94382022471909</v>
      </c>
    </row>
    <row r="6" spans="1:20" x14ac:dyDescent="0.25">
      <c r="A6" s="239">
        <v>5</v>
      </c>
      <c r="B6" s="240">
        <v>7</v>
      </c>
      <c r="C6" s="240"/>
      <c r="D6" s="240"/>
      <c r="E6" s="240">
        <f t="shared" si="0"/>
        <v>1.5</v>
      </c>
      <c r="F6" s="59">
        <f t="shared" si="1"/>
        <v>2</v>
      </c>
      <c r="G6" s="240">
        <f t="shared" si="2"/>
        <v>2.25</v>
      </c>
      <c r="H6" s="240">
        <f t="shared" si="3"/>
        <v>4</v>
      </c>
      <c r="I6" s="240">
        <f t="shared" si="4"/>
        <v>3</v>
      </c>
      <c r="J6" s="294">
        <f t="shared" si="5"/>
        <v>7.1599999999999993</v>
      </c>
      <c r="L6" s="309" t="s">
        <v>242</v>
      </c>
      <c r="M6" s="310">
        <f>+S4</f>
        <v>0.921649717760056</v>
      </c>
    </row>
    <row r="7" spans="1:20" x14ac:dyDescent="0.25">
      <c r="A7" s="239">
        <v>6</v>
      </c>
      <c r="B7" s="240">
        <v>10</v>
      </c>
      <c r="C7" s="240"/>
      <c r="D7" s="240"/>
      <c r="E7" s="240">
        <f t="shared" si="0"/>
        <v>2.5</v>
      </c>
      <c r="F7" s="59">
        <f t="shared" si="1"/>
        <v>5</v>
      </c>
      <c r="G7" s="240">
        <f t="shared" si="2"/>
        <v>6.25</v>
      </c>
      <c r="H7" s="240">
        <f t="shared" si="3"/>
        <v>25</v>
      </c>
      <c r="I7" s="240">
        <f t="shared" si="4"/>
        <v>12.5</v>
      </c>
      <c r="J7" s="294">
        <f t="shared" si="5"/>
        <v>8.6000000000000014</v>
      </c>
      <c r="L7" s="309" t="s">
        <v>244</v>
      </c>
      <c r="M7" s="310">
        <f>+S5</f>
        <v>84.94382022471909</v>
      </c>
    </row>
    <row r="8" spans="1:20" ht="15.75" thickBot="1" x14ac:dyDescent="0.3">
      <c r="A8" s="406"/>
      <c r="B8" s="407"/>
      <c r="C8" s="407"/>
      <c r="D8" s="408"/>
      <c r="E8" s="295">
        <f t="shared" ref="E8:J8" si="6">SUM(E2:E7)</f>
        <v>0</v>
      </c>
      <c r="F8" s="295">
        <f t="shared" si="6"/>
        <v>0</v>
      </c>
      <c r="G8" s="306">
        <f t="shared" si="6"/>
        <v>17.5</v>
      </c>
      <c r="H8" s="306">
        <f t="shared" si="6"/>
        <v>42.72</v>
      </c>
      <c r="I8" s="306">
        <f t="shared" si="6"/>
        <v>25.2</v>
      </c>
      <c r="J8" s="307">
        <f t="shared" si="6"/>
        <v>30</v>
      </c>
      <c r="L8" s="311" t="s">
        <v>246</v>
      </c>
      <c r="M8" s="312">
        <f>+$S$2*7+$S$3</f>
        <v>10.039999999999999</v>
      </c>
    </row>
    <row r="9" spans="1:20" ht="16.5" thickTop="1" thickBot="1" x14ac:dyDescent="0.3"/>
    <row r="10" spans="1:20" ht="15.75" thickTop="1" x14ac:dyDescent="0.25">
      <c r="A10" s="298" t="s">
        <v>217</v>
      </c>
      <c r="B10" s="299" t="s">
        <v>218</v>
      </c>
      <c r="C10" s="299" t="s">
        <v>230</v>
      </c>
      <c r="D10" s="299"/>
      <c r="E10" s="299" t="s">
        <v>219</v>
      </c>
      <c r="F10" s="299" t="s">
        <v>220</v>
      </c>
      <c r="G10" s="299" t="s">
        <v>221</v>
      </c>
      <c r="H10" s="299" t="s">
        <v>222</v>
      </c>
      <c r="I10" s="299" t="s">
        <v>223</v>
      </c>
      <c r="J10" s="300" t="s">
        <v>235</v>
      </c>
      <c r="L10" s="301" t="s">
        <v>229</v>
      </c>
      <c r="M10" s="302">
        <v>6</v>
      </c>
      <c r="O10" s="9" t="s">
        <v>248</v>
      </c>
      <c r="S10" s="412" t="s">
        <v>247</v>
      </c>
      <c r="T10" s="412"/>
    </row>
    <row r="11" spans="1:20" x14ac:dyDescent="0.25">
      <c r="A11" s="296">
        <v>1</v>
      </c>
      <c r="B11" s="59">
        <v>2.4</v>
      </c>
      <c r="C11" s="59">
        <f>LN(A11)</f>
        <v>0</v>
      </c>
      <c r="D11" s="59"/>
      <c r="E11" s="59">
        <f>+C11-$M$12</f>
        <v>-1.0965418686683501</v>
      </c>
      <c r="F11" s="59">
        <f>+B11-$M$14</f>
        <v>-2.6</v>
      </c>
      <c r="G11" s="59">
        <f>+E11^2</f>
        <v>1.2024040697426772</v>
      </c>
      <c r="H11" s="59">
        <f>+F11^2</f>
        <v>6.7600000000000007</v>
      </c>
      <c r="I11" s="59">
        <f>+E11*F11</f>
        <v>2.8510088585377105</v>
      </c>
      <c r="J11" s="70">
        <f>+$S$11*LN(A11)+$S$12</f>
        <v>1.0707832039541558</v>
      </c>
      <c r="L11" s="303" t="s">
        <v>231</v>
      </c>
      <c r="M11" s="70">
        <f>SUM(C11:C16)</f>
        <v>6.5792512120101012</v>
      </c>
      <c r="O11" t="s">
        <v>236</v>
      </c>
      <c r="P11" s="175">
        <f>+I17</f>
        <v>7.8670272446333405</v>
      </c>
      <c r="Q11" s="308" t="s">
        <v>237</v>
      </c>
      <c r="R11" s="175">
        <f>+G17</f>
        <v>2.1954820014961616</v>
      </c>
      <c r="S11" s="175">
        <f>+P11/R11</f>
        <v>3.5832802269716511</v>
      </c>
    </row>
    <row r="12" spans="1:20" x14ac:dyDescent="0.25">
      <c r="A12" s="296">
        <v>2</v>
      </c>
      <c r="B12" s="59">
        <v>3</v>
      </c>
      <c r="C12" s="59">
        <f t="shared" ref="C12:C16" si="7">LN(A12)</f>
        <v>0.69314718055994529</v>
      </c>
      <c r="D12" s="59"/>
      <c r="E12" s="59">
        <f t="shared" ref="E12:E16" si="8">+C12-$M$12</f>
        <v>-0.40339468810840484</v>
      </c>
      <c r="F12" s="59">
        <f t="shared" ref="F12:F16" si="9">+B12-$M$14</f>
        <v>-2</v>
      </c>
      <c r="G12" s="59">
        <f t="shared" ref="G12:G16" si="10">+E12^2</f>
        <v>0.16272727439407722</v>
      </c>
      <c r="H12" s="59">
        <f t="shared" ref="H12:H16" si="11">+F12^2</f>
        <v>4</v>
      </c>
      <c r="I12" s="59">
        <f t="shared" ref="I12:I16" si="12">+E12*F12</f>
        <v>0.80678937621680968</v>
      </c>
      <c r="J12" s="70">
        <f t="shared" ref="J12:J16" si="13">+$S$11*LN(A12)+$S$12</f>
        <v>3.5545237904357565</v>
      </c>
      <c r="L12" s="303" t="s">
        <v>227</v>
      </c>
      <c r="M12" s="70">
        <f>+M11/M10</f>
        <v>1.0965418686683501</v>
      </c>
      <c r="O12" t="s">
        <v>238</v>
      </c>
      <c r="P12" s="175">
        <f>+M14</f>
        <v>5</v>
      </c>
      <c r="Q12" s="308" t="s">
        <v>239</v>
      </c>
      <c r="R12" s="175">
        <f>+S11*M12</f>
        <v>3.9292167960458442</v>
      </c>
      <c r="S12" s="175">
        <f>+P12-R12</f>
        <v>1.0707832039541558</v>
      </c>
    </row>
    <row r="13" spans="1:20" x14ac:dyDescent="0.25">
      <c r="A13" s="296">
        <v>3</v>
      </c>
      <c r="B13" s="59">
        <v>3.6</v>
      </c>
      <c r="C13" s="59">
        <f t="shared" si="7"/>
        <v>1.0986122886681098</v>
      </c>
      <c r="D13" s="59"/>
      <c r="E13" s="59">
        <f t="shared" si="8"/>
        <v>2.070419999759654E-3</v>
      </c>
      <c r="F13" s="59">
        <f t="shared" si="9"/>
        <v>-1.4</v>
      </c>
      <c r="G13" s="59">
        <f t="shared" si="10"/>
        <v>4.2866389754047659E-6</v>
      </c>
      <c r="H13" s="59">
        <f t="shared" si="11"/>
        <v>1.9599999999999997</v>
      </c>
      <c r="I13" s="59">
        <f t="shared" si="12"/>
        <v>-2.8985879996635154E-3</v>
      </c>
      <c r="J13" s="70">
        <f t="shared" si="13"/>
        <v>5.0074188950466656</v>
      </c>
      <c r="L13" s="239" t="s">
        <v>226</v>
      </c>
      <c r="M13" s="70">
        <f>SUM(B11:B16)</f>
        <v>30</v>
      </c>
      <c r="O13" t="s">
        <v>241</v>
      </c>
      <c r="P13" s="175">
        <f>+I17</f>
        <v>7.8670272446333405</v>
      </c>
      <c r="Q13" s="308" t="s">
        <v>237</v>
      </c>
      <c r="R13" s="175">
        <f>SQRT(G17)*SQRT(H17)</f>
        <v>9.6845749056897699</v>
      </c>
      <c r="S13" s="175">
        <f>+P13/R13</f>
        <v>0.81232550950805238</v>
      </c>
    </row>
    <row r="14" spans="1:20" x14ac:dyDescent="0.25">
      <c r="A14" s="296">
        <v>4</v>
      </c>
      <c r="B14" s="59">
        <v>4</v>
      </c>
      <c r="C14" s="59">
        <f t="shared" si="7"/>
        <v>1.3862943611198906</v>
      </c>
      <c r="D14" s="59"/>
      <c r="E14" s="59">
        <f t="shared" si="8"/>
        <v>0.28975249245154044</v>
      </c>
      <c r="F14" s="59">
        <f t="shared" si="9"/>
        <v>-1</v>
      </c>
      <c r="G14" s="59">
        <f t="shared" si="10"/>
        <v>8.395650688188E-2</v>
      </c>
      <c r="H14" s="59">
        <f t="shared" si="11"/>
        <v>1</v>
      </c>
      <c r="I14" s="59">
        <f t="shared" si="12"/>
        <v>-0.28975249245154044</v>
      </c>
      <c r="J14" s="70">
        <f t="shared" si="13"/>
        <v>6.0382643769173576</v>
      </c>
      <c r="L14" s="239" t="s">
        <v>228</v>
      </c>
      <c r="M14" s="70">
        <f>+M13/M10</f>
        <v>5</v>
      </c>
      <c r="O14" t="s">
        <v>243</v>
      </c>
      <c r="P14" s="175">
        <f>+S13^2</f>
        <v>0.65987273339751684</v>
      </c>
      <c r="Q14" s="308" t="s">
        <v>245</v>
      </c>
      <c r="R14" s="175">
        <v>100</v>
      </c>
      <c r="S14" s="175">
        <f>+P14*R14</f>
        <v>65.987273339751681</v>
      </c>
    </row>
    <row r="15" spans="1:20" x14ac:dyDescent="0.25">
      <c r="A15" s="296">
        <v>5</v>
      </c>
      <c r="B15" s="59">
        <v>7</v>
      </c>
      <c r="C15" s="59">
        <f t="shared" si="7"/>
        <v>1.6094379124341003</v>
      </c>
      <c r="D15" s="59"/>
      <c r="E15" s="59">
        <f t="shared" si="8"/>
        <v>0.51289604376575015</v>
      </c>
      <c r="F15" s="59">
        <f t="shared" si="9"/>
        <v>2</v>
      </c>
      <c r="G15" s="59">
        <f t="shared" si="10"/>
        <v>0.26306235171055831</v>
      </c>
      <c r="H15" s="59">
        <f t="shared" si="11"/>
        <v>4</v>
      </c>
      <c r="I15" s="59">
        <f t="shared" si="12"/>
        <v>1.0257920875315003</v>
      </c>
      <c r="J15" s="70">
        <f t="shared" si="13"/>
        <v>6.8378502521177982</v>
      </c>
      <c r="L15" s="309" t="s">
        <v>242</v>
      </c>
      <c r="M15" s="310">
        <f>+S13</f>
        <v>0.81232550950805238</v>
      </c>
    </row>
    <row r="16" spans="1:20" x14ac:dyDescent="0.25">
      <c r="A16" s="296">
        <v>6</v>
      </c>
      <c r="B16" s="59">
        <v>10</v>
      </c>
      <c r="C16" s="59">
        <f t="shared" si="7"/>
        <v>1.791759469228055</v>
      </c>
      <c r="D16" s="59"/>
      <c r="E16" s="59">
        <f t="shared" si="8"/>
        <v>0.69521760055970483</v>
      </c>
      <c r="F16" s="59">
        <f t="shared" si="9"/>
        <v>5</v>
      </c>
      <c r="G16" s="59">
        <f t="shared" si="10"/>
        <v>0.4833275121279933</v>
      </c>
      <c r="H16" s="59">
        <f t="shared" si="11"/>
        <v>25</v>
      </c>
      <c r="I16" s="59">
        <f t="shared" si="12"/>
        <v>3.4760880027985239</v>
      </c>
      <c r="J16" s="70">
        <f t="shared" si="13"/>
        <v>7.4911594815282658</v>
      </c>
      <c r="L16" s="309" t="s">
        <v>244</v>
      </c>
      <c r="M16" s="310">
        <f>+S14</f>
        <v>65.987273339751681</v>
      </c>
    </row>
    <row r="17" spans="1:20" ht="15.75" thickBot="1" x14ac:dyDescent="0.3">
      <c r="A17" s="409"/>
      <c r="B17" s="410"/>
      <c r="C17" s="410"/>
      <c r="D17" s="411"/>
      <c r="E17" s="297">
        <f>SUM(E11:E16)</f>
        <v>0</v>
      </c>
      <c r="F17" s="297">
        <f t="shared" ref="F17:I17" si="14">SUM(F11:F16)</f>
        <v>0</v>
      </c>
      <c r="G17" s="297">
        <f t="shared" si="14"/>
        <v>2.1954820014961616</v>
      </c>
      <c r="H17" s="297">
        <f t="shared" si="14"/>
        <v>42.72</v>
      </c>
      <c r="I17" s="297">
        <f t="shared" si="14"/>
        <v>7.8670272446333405</v>
      </c>
      <c r="J17" s="313">
        <f>SUM(J11:J16)</f>
        <v>30</v>
      </c>
      <c r="L17" s="311" t="s">
        <v>246</v>
      </c>
      <c r="M17" s="312">
        <f>+$S$11*LN(7)+$S$12</f>
        <v>8.0435245645275177</v>
      </c>
    </row>
    <row r="18" spans="1:20" ht="16.5" thickTop="1" thickBot="1" x14ac:dyDescent="0.3"/>
    <row r="19" spans="1:20" ht="15.75" thickTop="1" x14ac:dyDescent="0.25">
      <c r="A19" s="298" t="s">
        <v>217</v>
      </c>
      <c r="B19" s="299" t="s">
        <v>218</v>
      </c>
      <c r="C19" s="299" t="s">
        <v>232</v>
      </c>
      <c r="D19" s="299"/>
      <c r="E19" s="299" t="s">
        <v>219</v>
      </c>
      <c r="F19" s="299" t="s">
        <v>220</v>
      </c>
      <c r="G19" s="299" t="s">
        <v>221</v>
      </c>
      <c r="H19" s="299" t="s">
        <v>222</v>
      </c>
      <c r="I19" s="299" t="s">
        <v>223</v>
      </c>
      <c r="J19" s="300" t="s">
        <v>252</v>
      </c>
      <c r="L19" s="301" t="s">
        <v>229</v>
      </c>
      <c r="M19" s="302">
        <v>6</v>
      </c>
      <c r="O19" s="9" t="s">
        <v>249</v>
      </c>
      <c r="P19" s="413"/>
      <c r="Q19" s="413"/>
      <c r="R19" s="413"/>
      <c r="S19" s="14" t="s">
        <v>252</v>
      </c>
      <c r="T19" s="316" t="s">
        <v>251</v>
      </c>
    </row>
    <row r="20" spans="1:20" x14ac:dyDescent="0.25">
      <c r="A20" s="296">
        <v>1</v>
      </c>
      <c r="B20" s="59">
        <v>2.4</v>
      </c>
      <c r="C20" s="59">
        <f>LN(B20)</f>
        <v>0.87546873735389985</v>
      </c>
      <c r="D20" s="59"/>
      <c r="E20" s="59">
        <f>+A20-$M$21</f>
        <v>-2.5</v>
      </c>
      <c r="F20" s="59">
        <f>+C20-$M$23</f>
        <v>-0.60616534175498749</v>
      </c>
      <c r="G20" s="59">
        <f>+E20^2</f>
        <v>6.25</v>
      </c>
      <c r="H20" s="59">
        <f>+F20^2</f>
        <v>0.36743642154494077</v>
      </c>
      <c r="I20" s="59">
        <f>+E20*F20</f>
        <v>1.5154133543874688</v>
      </c>
      <c r="J20" s="314">
        <f>+$P$25*EXP($S$20*A20)</f>
        <v>2.1877203990725018</v>
      </c>
      <c r="L20" s="239" t="s">
        <v>225</v>
      </c>
      <c r="M20" s="70">
        <f>SUM(A20:A25)</f>
        <v>21</v>
      </c>
      <c r="O20" t="s">
        <v>236</v>
      </c>
      <c r="P20" s="175">
        <f>+I26</f>
        <v>4.8914179375100844</v>
      </c>
      <c r="Q20" s="308" t="s">
        <v>237</v>
      </c>
      <c r="R20" s="175">
        <f>+G26</f>
        <v>17.5</v>
      </c>
      <c r="S20" s="175">
        <f>+P20/R20</f>
        <v>0.27950959642914769</v>
      </c>
    </row>
    <row r="21" spans="1:20" x14ac:dyDescent="0.25">
      <c r="A21" s="296">
        <v>2</v>
      </c>
      <c r="B21" s="59">
        <v>3</v>
      </c>
      <c r="C21" s="59">
        <f t="shared" ref="C21:C25" si="15">LN(B21)</f>
        <v>1.0986122886681098</v>
      </c>
      <c r="D21" s="59"/>
      <c r="E21" s="59">
        <f t="shared" ref="E21:E25" si="16">+A21-$M$21</f>
        <v>-1.5</v>
      </c>
      <c r="F21" s="59">
        <f t="shared" ref="F21:F25" si="17">+C21-$M$23</f>
        <v>-0.38302179044077755</v>
      </c>
      <c r="G21" s="59">
        <f t="shared" ref="G21:G25" si="18">+E21^2</f>
        <v>2.25</v>
      </c>
      <c r="H21" s="59">
        <f t="shared" ref="H21:H25" si="19">+F21^2</f>
        <v>0.14670569195245892</v>
      </c>
      <c r="I21" s="59">
        <f t="shared" ref="I21:I25" si="20">+E21*F21</f>
        <v>0.57453268566116633</v>
      </c>
      <c r="J21" s="314">
        <f t="shared" ref="J21:J25" si="21">+$P$25*EXP($S$20*A21)</f>
        <v>2.8932188882373584</v>
      </c>
      <c r="L21" s="239" t="s">
        <v>227</v>
      </c>
      <c r="M21" s="70">
        <f>+M20/M19</f>
        <v>3.5</v>
      </c>
      <c r="O21" t="s">
        <v>238</v>
      </c>
      <c r="P21" s="175">
        <f>+M23</f>
        <v>1.4816340791088873</v>
      </c>
      <c r="Q21" s="308" t="s">
        <v>239</v>
      </c>
      <c r="R21" s="175">
        <f>+S20*M21</f>
        <v>0.97828358750201694</v>
      </c>
      <c r="S21" s="175">
        <f>+P21-R21</f>
        <v>0.5033504916068704</v>
      </c>
    </row>
    <row r="22" spans="1:20" x14ac:dyDescent="0.25">
      <c r="A22" s="296">
        <v>3</v>
      </c>
      <c r="B22" s="59">
        <v>3.6</v>
      </c>
      <c r="C22" s="59">
        <f t="shared" si="15"/>
        <v>1.2809338454620642</v>
      </c>
      <c r="D22" s="59"/>
      <c r="E22" s="59">
        <f t="shared" si="16"/>
        <v>-0.5</v>
      </c>
      <c r="F22" s="59">
        <f t="shared" si="17"/>
        <v>-0.2007002336468231</v>
      </c>
      <c r="G22" s="59">
        <f t="shared" si="18"/>
        <v>0.25</v>
      </c>
      <c r="H22" s="59">
        <f t="shared" si="19"/>
        <v>4.0280583785889383E-2</v>
      </c>
      <c r="I22" s="59">
        <f t="shared" si="20"/>
        <v>0.10035011682341155</v>
      </c>
      <c r="J22" s="314">
        <f t="shared" si="21"/>
        <v>3.8262273089386722</v>
      </c>
      <c r="L22" s="303" t="s">
        <v>233</v>
      </c>
      <c r="M22" s="70">
        <f>SUM(C20:C25)</f>
        <v>8.8898044746533245</v>
      </c>
      <c r="O22" t="s">
        <v>241</v>
      </c>
      <c r="P22" s="175">
        <f>+I26</f>
        <v>4.8914179375100844</v>
      </c>
      <c r="Q22" s="308" t="s">
        <v>237</v>
      </c>
      <c r="R22" s="175">
        <f>SQRT(G26)*SQRT(H26)</f>
        <v>5.0426125094127432</v>
      </c>
      <c r="S22" s="175">
        <f>+P22/R22</f>
        <v>0.9700166190401438</v>
      </c>
    </row>
    <row r="23" spans="1:20" x14ac:dyDescent="0.25">
      <c r="A23" s="296">
        <v>4</v>
      </c>
      <c r="B23" s="59">
        <v>4</v>
      </c>
      <c r="C23" s="59">
        <f t="shared" si="15"/>
        <v>1.3862943611198906</v>
      </c>
      <c r="D23" s="59"/>
      <c r="E23" s="59">
        <f t="shared" si="16"/>
        <v>0.5</v>
      </c>
      <c r="F23" s="59">
        <f t="shared" si="17"/>
        <v>-9.5339717988996764E-2</v>
      </c>
      <c r="G23" s="59">
        <f t="shared" si="18"/>
        <v>0.25</v>
      </c>
      <c r="H23" s="59">
        <f t="shared" si="19"/>
        <v>9.0896618262214339E-3</v>
      </c>
      <c r="I23" s="59">
        <f t="shared" si="20"/>
        <v>-4.7669858994498382E-2</v>
      </c>
      <c r="J23" s="314">
        <f t="shared" si="21"/>
        <v>5.060113315030665</v>
      </c>
      <c r="L23" s="303" t="s">
        <v>228</v>
      </c>
      <c r="M23" s="70">
        <f>+M22/M19</f>
        <v>1.4816340791088873</v>
      </c>
      <c r="O23" t="s">
        <v>243</v>
      </c>
      <c r="P23" s="175">
        <f>+S22^2</f>
        <v>0.94093224121407149</v>
      </c>
      <c r="Q23" s="308" t="s">
        <v>245</v>
      </c>
      <c r="R23" s="175">
        <v>100</v>
      </c>
      <c r="S23" s="175">
        <f>+P23*R23</f>
        <v>94.093224121407147</v>
      </c>
    </row>
    <row r="24" spans="1:20" x14ac:dyDescent="0.25">
      <c r="A24" s="296">
        <v>5</v>
      </c>
      <c r="B24" s="59">
        <v>7</v>
      </c>
      <c r="C24" s="59">
        <f t="shared" si="15"/>
        <v>1.9459101490553132</v>
      </c>
      <c r="D24" s="59"/>
      <c r="E24" s="59">
        <f t="shared" si="16"/>
        <v>1.5</v>
      </c>
      <c r="F24" s="59">
        <f t="shared" si="17"/>
        <v>0.4642760699464259</v>
      </c>
      <c r="G24" s="59">
        <f t="shared" si="18"/>
        <v>2.25</v>
      </c>
      <c r="H24" s="59">
        <f t="shared" si="19"/>
        <v>0.21555226912489855</v>
      </c>
      <c r="I24" s="59">
        <f t="shared" si="20"/>
        <v>0.69641410491963884</v>
      </c>
      <c r="J24" s="314">
        <f t="shared" si="21"/>
        <v>6.6919042423679027</v>
      </c>
      <c r="L24" s="309" t="s">
        <v>242</v>
      </c>
      <c r="M24" s="310">
        <f>+S22</f>
        <v>0.9700166190401438</v>
      </c>
    </row>
    <row r="25" spans="1:20" x14ac:dyDescent="0.25">
      <c r="A25" s="296">
        <v>6</v>
      </c>
      <c r="B25" s="59">
        <v>10</v>
      </c>
      <c r="C25" s="59">
        <f t="shared" si="15"/>
        <v>2.3025850929940459</v>
      </c>
      <c r="D25" s="59"/>
      <c r="E25" s="59">
        <f t="shared" si="16"/>
        <v>2.5</v>
      </c>
      <c r="F25" s="59">
        <f t="shared" si="17"/>
        <v>0.82095101388515856</v>
      </c>
      <c r="G25" s="59">
        <f t="shared" si="18"/>
        <v>6.25</v>
      </c>
      <c r="H25" s="59">
        <f t="shared" si="19"/>
        <v>0.67396056719906983</v>
      </c>
      <c r="I25" s="59">
        <f t="shared" si="20"/>
        <v>2.0523775347128965</v>
      </c>
      <c r="J25" s="314">
        <f t="shared" si="21"/>
        <v>8.8499169091730412</v>
      </c>
      <c r="L25" s="309" t="s">
        <v>244</v>
      </c>
      <c r="M25" s="310">
        <f>+S23</f>
        <v>94.093224121407147</v>
      </c>
      <c r="O25" t="s">
        <v>250</v>
      </c>
      <c r="P25" s="51">
        <f>EXP(S21)</f>
        <v>1.6542545619262854</v>
      </c>
    </row>
    <row r="26" spans="1:20" ht="15.75" thickBot="1" x14ac:dyDescent="0.3">
      <c r="A26" s="409"/>
      <c r="B26" s="410"/>
      <c r="C26" s="410"/>
      <c r="D26" s="411"/>
      <c r="E26" s="297">
        <f>SUM(E20:E25)</f>
        <v>0</v>
      </c>
      <c r="F26" s="297">
        <f t="shared" ref="F26" si="22">SUM(F20:F25)</f>
        <v>0</v>
      </c>
      <c r="G26" s="297">
        <f t="shared" ref="G26" si="23">SUM(G20:G25)</f>
        <v>17.5</v>
      </c>
      <c r="H26" s="297">
        <f t="shared" ref="H26" si="24">SUM(H20:H25)</f>
        <v>1.453025195433479</v>
      </c>
      <c r="I26" s="297">
        <f t="shared" ref="I26" si="25">SUM(I20:I25)</f>
        <v>4.8914179375100844</v>
      </c>
      <c r="J26" s="315">
        <f>SUM(J20:J25)</f>
        <v>29.509101062820143</v>
      </c>
      <c r="L26" s="311" t="s">
        <v>246</v>
      </c>
      <c r="M26" s="312">
        <f>+$P$25*EXP($S$20*7)</f>
        <v>11.703847882849164</v>
      </c>
    </row>
    <row r="27" spans="1:20" ht="16.5" thickTop="1" thickBot="1" x14ac:dyDescent="0.3"/>
    <row r="28" spans="1:20" ht="15.75" thickTop="1" x14ac:dyDescent="0.25">
      <c r="A28" s="298" t="s">
        <v>217</v>
      </c>
      <c r="B28" s="299" t="s">
        <v>218</v>
      </c>
      <c r="C28" s="299" t="s">
        <v>230</v>
      </c>
      <c r="D28" s="299" t="s">
        <v>232</v>
      </c>
      <c r="E28" s="299" t="s">
        <v>219</v>
      </c>
      <c r="F28" s="299" t="s">
        <v>220</v>
      </c>
      <c r="G28" s="299" t="s">
        <v>221</v>
      </c>
      <c r="H28" s="299" t="s">
        <v>222</v>
      </c>
      <c r="I28" s="299" t="s">
        <v>223</v>
      </c>
      <c r="J28" s="300" t="s">
        <v>252</v>
      </c>
      <c r="L28" s="301" t="s">
        <v>229</v>
      </c>
      <c r="M28" s="302">
        <v>6</v>
      </c>
      <c r="O28" s="9" t="s">
        <v>249</v>
      </c>
      <c r="S28" s="14" t="s">
        <v>252</v>
      </c>
      <c r="T28" s="316" t="s">
        <v>251</v>
      </c>
    </row>
    <row r="29" spans="1:20" x14ac:dyDescent="0.25">
      <c r="A29" s="296">
        <v>1</v>
      </c>
      <c r="B29" s="59">
        <v>2.4</v>
      </c>
      <c r="C29" s="59">
        <f>LN(A29)</f>
        <v>0</v>
      </c>
      <c r="D29" s="59">
        <f>LN(B29)</f>
        <v>0.87546873735389985</v>
      </c>
      <c r="E29" s="59">
        <f>+C29-$M$30</f>
        <v>-1.0965418686683501</v>
      </c>
      <c r="F29" s="59">
        <f>+D29-$M$32</f>
        <v>-0.60616534175498749</v>
      </c>
      <c r="G29" s="59">
        <f>+E29^2</f>
        <v>1.2024040697426772</v>
      </c>
      <c r="H29" s="59">
        <f>+F29^2</f>
        <v>0.36743642154494077</v>
      </c>
      <c r="I29" s="59">
        <f>+E29*F29</f>
        <v>0.6646856765700031</v>
      </c>
      <c r="J29" s="70">
        <f>+$P$34*A29^$S$29</f>
        <v>1.9788154630818096</v>
      </c>
      <c r="L29" s="303" t="s">
        <v>234</v>
      </c>
      <c r="M29" s="70">
        <f>SUM(C29:C34)</f>
        <v>6.5792512120101012</v>
      </c>
      <c r="O29" t="s">
        <v>236</v>
      </c>
      <c r="P29" s="175">
        <f>+I35</f>
        <v>1.600019131109875</v>
      </c>
      <c r="Q29" s="308" t="s">
        <v>237</v>
      </c>
      <c r="R29" s="175">
        <f>+G35</f>
        <v>2.1954820014961616</v>
      </c>
      <c r="S29" s="175">
        <f>+P29/R29</f>
        <v>0.72877806787735233</v>
      </c>
    </row>
    <row r="30" spans="1:20" x14ac:dyDescent="0.25">
      <c r="A30" s="296">
        <v>2</v>
      </c>
      <c r="B30" s="59">
        <v>3</v>
      </c>
      <c r="C30" s="59">
        <f t="shared" ref="C30:C34" si="26">LN(A30)</f>
        <v>0.69314718055994529</v>
      </c>
      <c r="D30" s="59">
        <f t="shared" ref="D30:D34" si="27">LN(B30)</f>
        <v>1.0986122886681098</v>
      </c>
      <c r="E30" s="59">
        <f t="shared" ref="E30:E34" si="28">+C30-$M$30</f>
        <v>-0.40339468810840484</v>
      </c>
      <c r="F30" s="59">
        <f t="shared" ref="F30:F34" si="29">+D30-$M$32</f>
        <v>-0.38302179044077755</v>
      </c>
      <c r="G30" s="59">
        <f t="shared" ref="G30:G34" si="30">+E30^2</f>
        <v>0.16272727439407722</v>
      </c>
      <c r="H30" s="59">
        <f t="shared" ref="H30:H34" si="31">+F30^2</f>
        <v>0.14670569195245892</v>
      </c>
      <c r="I30" s="59">
        <f t="shared" ref="I30:I34" si="32">+E30*F30</f>
        <v>0.15450895569358025</v>
      </c>
      <c r="J30" s="70">
        <f t="shared" ref="J30:J34" si="33">+$P$34*A30^$S$29</f>
        <v>3.2793619555196427</v>
      </c>
      <c r="L30" s="303" t="s">
        <v>227</v>
      </c>
      <c r="M30" s="70">
        <f>+M29/M28</f>
        <v>1.0965418686683501</v>
      </c>
      <c r="O30" t="s">
        <v>238</v>
      </c>
      <c r="P30" s="175">
        <f>+M32</f>
        <v>1.4816340791088873</v>
      </c>
      <c r="Q30" s="308" t="s">
        <v>239</v>
      </c>
      <c r="R30" s="175">
        <f>+S29*M30</f>
        <v>0.7991356643947416</v>
      </c>
      <c r="S30" s="175">
        <f>+P30-R30</f>
        <v>0.68249841471414574</v>
      </c>
    </row>
    <row r="31" spans="1:20" x14ac:dyDescent="0.25">
      <c r="A31" s="296">
        <v>3</v>
      </c>
      <c r="B31" s="59">
        <v>3.6</v>
      </c>
      <c r="C31" s="59">
        <f t="shared" si="26"/>
        <v>1.0986122886681098</v>
      </c>
      <c r="D31" s="59">
        <f t="shared" si="27"/>
        <v>1.2809338454620642</v>
      </c>
      <c r="E31" s="59">
        <f t="shared" si="28"/>
        <v>2.070419999759654E-3</v>
      </c>
      <c r="F31" s="59">
        <f t="shared" si="29"/>
        <v>-0.2007002336468231</v>
      </c>
      <c r="G31" s="59">
        <f t="shared" si="30"/>
        <v>4.2866389754047659E-6</v>
      </c>
      <c r="H31" s="59">
        <f t="shared" si="31"/>
        <v>4.0280583785889383E-2</v>
      </c>
      <c r="I31" s="59">
        <f t="shared" si="32"/>
        <v>-4.1553377769881799E-4</v>
      </c>
      <c r="J31" s="70">
        <f t="shared" si="33"/>
        <v>4.4067742348916736</v>
      </c>
      <c r="L31" s="303" t="s">
        <v>233</v>
      </c>
      <c r="M31" s="70">
        <f>SUM(D29:D34)</f>
        <v>8.8898044746533245</v>
      </c>
      <c r="O31" t="s">
        <v>241</v>
      </c>
      <c r="P31" s="175">
        <f>+I35</f>
        <v>1.600019131109875</v>
      </c>
      <c r="Q31" s="308" t="s">
        <v>237</v>
      </c>
      <c r="R31" s="175">
        <f>SQRT(G35)*SQRT(H35)</f>
        <v>1.7860824908986275</v>
      </c>
      <c r="S31" s="175">
        <f>+P31/R31</f>
        <v>0.89582599866642287</v>
      </c>
    </row>
    <row r="32" spans="1:20" x14ac:dyDescent="0.25">
      <c r="A32" s="296">
        <v>4</v>
      </c>
      <c r="B32" s="59">
        <v>4</v>
      </c>
      <c r="C32" s="59">
        <f t="shared" si="26"/>
        <v>1.3862943611198906</v>
      </c>
      <c r="D32" s="59">
        <f t="shared" si="27"/>
        <v>1.3862943611198906</v>
      </c>
      <c r="E32" s="59">
        <f t="shared" si="28"/>
        <v>0.28975249245154044</v>
      </c>
      <c r="F32" s="59">
        <f t="shared" si="29"/>
        <v>-9.5339717988996764E-2</v>
      </c>
      <c r="G32" s="59">
        <f t="shared" si="30"/>
        <v>8.395650688188E-2</v>
      </c>
      <c r="H32" s="59">
        <f t="shared" si="31"/>
        <v>9.0896618262214339E-3</v>
      </c>
      <c r="I32" s="59">
        <f t="shared" si="32"/>
        <v>-2.7624920916938779E-2</v>
      </c>
      <c r="J32" s="70">
        <f t="shared" si="33"/>
        <v>5.434672932341547</v>
      </c>
      <c r="L32" s="303" t="s">
        <v>228</v>
      </c>
      <c r="M32" s="70">
        <f>+M31/M28</f>
        <v>1.4816340791088873</v>
      </c>
      <c r="O32" t="s">
        <v>243</v>
      </c>
      <c r="P32" s="175">
        <f>+S31^2</f>
        <v>0.80250421988669385</v>
      </c>
      <c r="Q32" s="308" t="s">
        <v>245</v>
      </c>
      <c r="R32" s="175">
        <v>100</v>
      </c>
      <c r="S32" s="175">
        <f>+P32*R32</f>
        <v>80.250421988669387</v>
      </c>
    </row>
    <row r="33" spans="1:16" x14ac:dyDescent="0.25">
      <c r="A33" s="296">
        <v>5</v>
      </c>
      <c r="B33" s="59">
        <v>7</v>
      </c>
      <c r="C33" s="59">
        <f t="shared" si="26"/>
        <v>1.6094379124341003</v>
      </c>
      <c r="D33" s="59">
        <f t="shared" si="27"/>
        <v>1.9459101490553132</v>
      </c>
      <c r="E33" s="59">
        <f t="shared" si="28"/>
        <v>0.51289604376575015</v>
      </c>
      <c r="F33" s="59">
        <f t="shared" si="29"/>
        <v>0.4642760699464259</v>
      </c>
      <c r="G33" s="59">
        <f t="shared" si="30"/>
        <v>0.26306235171055831</v>
      </c>
      <c r="H33" s="59">
        <f t="shared" si="31"/>
        <v>0.21555226912489855</v>
      </c>
      <c r="I33" s="59">
        <f t="shared" si="32"/>
        <v>0.23812535949063254</v>
      </c>
      <c r="J33" s="70">
        <f t="shared" si="33"/>
        <v>6.394392707681769</v>
      </c>
      <c r="L33" s="309" t="s">
        <v>242</v>
      </c>
      <c r="M33" s="310">
        <f>+S31</f>
        <v>0.89582599866642287</v>
      </c>
    </row>
    <row r="34" spans="1:16" x14ac:dyDescent="0.25">
      <c r="A34" s="296">
        <v>6</v>
      </c>
      <c r="B34" s="59">
        <v>10</v>
      </c>
      <c r="C34" s="59">
        <f t="shared" si="26"/>
        <v>1.791759469228055</v>
      </c>
      <c r="D34" s="59">
        <f t="shared" si="27"/>
        <v>2.3025850929940459</v>
      </c>
      <c r="E34" s="59">
        <f t="shared" si="28"/>
        <v>0.69521760055970483</v>
      </c>
      <c r="F34" s="59">
        <f t="shared" si="29"/>
        <v>0.82095101388515856</v>
      </c>
      <c r="G34" s="59">
        <f t="shared" si="30"/>
        <v>0.4833275121279933</v>
      </c>
      <c r="H34" s="59">
        <f t="shared" si="31"/>
        <v>0.67396056719906983</v>
      </c>
      <c r="I34" s="59">
        <f t="shared" si="32"/>
        <v>0.57073959405029684</v>
      </c>
      <c r="J34" s="70">
        <f t="shared" si="33"/>
        <v>7.3030598568101412</v>
      </c>
      <c r="L34" s="309" t="s">
        <v>244</v>
      </c>
      <c r="M34" s="310">
        <f>+S32</f>
        <v>80.250421988669387</v>
      </c>
      <c r="O34" t="s">
        <v>253</v>
      </c>
      <c r="P34" s="51">
        <f>EXP(S30)</f>
        <v>1.9788154630818096</v>
      </c>
    </row>
    <row r="35" spans="1:16" ht="15.75" thickBot="1" x14ac:dyDescent="0.3">
      <c r="A35" s="409"/>
      <c r="B35" s="410"/>
      <c r="C35" s="410"/>
      <c r="D35" s="411"/>
      <c r="E35" s="297">
        <f>SUM(E29:E34)</f>
        <v>0</v>
      </c>
      <c r="F35" s="297">
        <f t="shared" ref="F35" si="34">SUM(F29:F34)</f>
        <v>0</v>
      </c>
      <c r="G35" s="297">
        <f t="shared" ref="G35" si="35">SUM(G29:G34)</f>
        <v>2.1954820014961616</v>
      </c>
      <c r="H35" s="297">
        <f t="shared" ref="H35" si="36">SUM(H29:H34)</f>
        <v>1.453025195433479</v>
      </c>
      <c r="I35" s="297">
        <f t="shared" ref="I35" si="37">SUM(I29:I34)</f>
        <v>1.600019131109875</v>
      </c>
      <c r="J35" s="313">
        <f>SUM(J29:J34)</f>
        <v>28.797077150326583</v>
      </c>
      <c r="L35" s="311" t="s">
        <v>246</v>
      </c>
      <c r="M35" s="312">
        <f>+$P$34*7^$S$29</f>
        <v>8.1713575136089069</v>
      </c>
    </row>
    <row r="36" spans="1:16" ht="15.75" thickTop="1" x14ac:dyDescent="0.25"/>
  </sheetData>
  <mergeCells count="7">
    <mergeCell ref="S1:T1"/>
    <mergeCell ref="P19:R19"/>
    <mergeCell ref="A8:D8"/>
    <mergeCell ref="A17:D17"/>
    <mergeCell ref="A26:D26"/>
    <mergeCell ref="A35:D35"/>
    <mergeCell ref="S10:T10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5</vt:i4>
      </vt:variant>
    </vt:vector>
  </HeadingPairs>
  <TitlesOfParts>
    <vt:vector size="18" baseType="lpstr">
      <vt:lpstr>Mediane</vt:lpstr>
      <vt:lpstr>MENU</vt:lpstr>
      <vt:lpstr>Quartiles</vt:lpstr>
      <vt:lpstr>Indices LPF</vt:lpstr>
      <vt:lpstr>Taux evolution</vt:lpstr>
      <vt:lpstr>Classe nodale</vt:lpstr>
      <vt:lpstr>Moindre carré</vt:lpstr>
      <vt:lpstr>Loi binomiale</vt:lpstr>
      <vt:lpstr>Correlation</vt:lpstr>
      <vt:lpstr>Echantillonage</vt:lpstr>
      <vt:lpstr>Estimation 1</vt:lpstr>
      <vt:lpstr>Estimation 2</vt:lpstr>
      <vt:lpstr>Estimation 3</vt:lpstr>
      <vt:lpstr>ci_x_ni</vt:lpstr>
      <vt:lpstr>Data_1</vt:lpstr>
      <vt:lpstr>nb_copie</vt:lpstr>
      <vt:lpstr>ni_ci</vt:lpstr>
      <vt:lpstr>theoreme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LAMBERT</dc:creator>
  <cp:lastModifiedBy>Philippe LAMBERT</cp:lastModifiedBy>
  <dcterms:created xsi:type="dcterms:W3CDTF">2026-01-07T15:20:18Z</dcterms:created>
  <dcterms:modified xsi:type="dcterms:W3CDTF">2026-02-10T16:04:23Z</dcterms:modified>
</cp:coreProperties>
</file>